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gintermuiza-my.sharepoint.com/personal/modris_putns_gintermuiza_lv/Documents/Darbvirsma/tmp/"/>
    </mc:Choice>
  </mc:AlternateContent>
  <xr:revisionPtr revIDLastSave="7" documentId="13_ncr:1_{088EB434-BB11-416B-A056-EBBF517658F9}" xr6:coauthVersionLast="47" xr6:coauthVersionMax="47" xr10:uidLastSave="{635E3D16-C1DC-4271-9920-7527EF826CB5}"/>
  <workbookProtection lockStructure="1"/>
  <bookViews>
    <workbookView xWindow="28680" yWindow="-120" windowWidth="29040" windowHeight="15720" firstSheet="1" activeTab="1" xr2:uid="{00000000-000D-0000-FFFF-FFFF00000000}"/>
  </bookViews>
  <sheets>
    <sheet name="Budžeta tāme" sheetId="2" state="hidden" r:id="rId1"/>
    <sheet name="PZ Aprēķins" sheetId="12" r:id="rId2"/>
    <sheet name="Bilance" sheetId="11" r:id="rId3"/>
    <sheet name="Naudas plūsma" sheetId="5" r:id="rId4"/>
    <sheet name="Naturālie rādītāji" sheetId="10" state="hidden" r:id="rId5"/>
    <sheet name="Ieguldījumu tāme" sheetId="9" state="hidden" r:id="rId6"/>
    <sheet name="Kreditori,Debitori" sheetId="13" state="hidden" r:id="rId7"/>
  </sheets>
  <externalReferences>
    <externalReference r:id="rId8"/>
  </externalReferences>
  <definedNames>
    <definedName name="dff">#NAME?</definedName>
    <definedName name="_xlnm.Print_Area" localSheetId="0">'Budžeta tāme'!$A$1:$X$180</definedName>
    <definedName name="_xlnm.Print_Area" localSheetId="5">'Ieguldījumu tāme'!$A$1:$X$29</definedName>
    <definedName name="_xlnm.Print_Area" localSheetId="3">'Naudas plūsma'!$A$1:$X$57</definedName>
    <definedName name="_xlnm.Print_Titles" localSheetId="2">Bilance!$1:$2</definedName>
    <definedName name="_xlnm.Print_Titles" localSheetId="0">'Budžeta tāme'!$1:$2</definedName>
    <definedName name="_xlnm.Print_Titles" localSheetId="4">'Naturālie rādītāji'!$1:$2</definedName>
    <definedName name="_xlnm.Print_Titles" localSheetId="3">'Naudas plūsma'!$1:$2</definedName>
    <definedName name="_xlnm.Print_Titles" localSheetId="1">'PZ Aprēķins'!$1:$2</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4" i="2" l="1"/>
  <c r="M9" i="12"/>
  <c r="C175" i="2"/>
  <c r="D175" i="2"/>
  <c r="C174" i="2"/>
  <c r="O17" i="5"/>
  <c r="D32" i="2" l="1"/>
  <c r="T8" i="12"/>
  <c r="D8" i="12" l="1"/>
  <c r="O8" i="12"/>
  <c r="J8" i="12"/>
  <c r="O81" i="2" l="1"/>
  <c r="J81" i="2"/>
  <c r="D81" i="2"/>
  <c r="O88" i="2"/>
  <c r="D90" i="2"/>
  <c r="J90" i="2"/>
  <c r="O90" i="2"/>
  <c r="T64" i="2" l="1"/>
  <c r="T65" i="2"/>
  <c r="T29" i="2"/>
  <c r="H8" i="12"/>
  <c r="H4" i="12"/>
  <c r="C74" i="13" l="1"/>
  <c r="F67" i="13"/>
  <c r="D67" i="13"/>
  <c r="C53" i="13"/>
  <c r="C49" i="13"/>
  <c r="C47" i="13"/>
  <c r="C45" i="13" s="1"/>
  <c r="C41" i="13"/>
  <c r="C34" i="13"/>
  <c r="C4" i="13"/>
  <c r="F50" i="10"/>
  <c r="F44" i="10"/>
  <c r="F19" i="10"/>
  <c r="F18" i="10"/>
  <c r="F45" i="10"/>
  <c r="F51" i="10"/>
  <c r="F49" i="10"/>
  <c r="F43" i="10"/>
  <c r="F91" i="10"/>
  <c r="F85" i="11"/>
  <c r="F57" i="11"/>
  <c r="F46" i="11"/>
  <c r="F4" i="11"/>
  <c r="H9" i="12"/>
  <c r="F25" i="2"/>
  <c r="F8" i="12" s="1"/>
  <c r="F29" i="2"/>
  <c r="F149" i="2"/>
  <c r="F115" i="2"/>
  <c r="F38" i="2"/>
  <c r="F26" i="2"/>
  <c r="F8" i="2"/>
  <c r="F7" i="2"/>
  <c r="F6" i="2"/>
  <c r="C58" i="13" l="1"/>
  <c r="C57" i="13" s="1"/>
  <c r="C3" i="13"/>
  <c r="G25" i="2" l="1"/>
  <c r="H25" i="2" s="1"/>
  <c r="G26" i="2"/>
  <c r="G27" i="2"/>
  <c r="T46" i="5"/>
  <c r="T39" i="5"/>
  <c r="T74" i="10"/>
  <c r="T75" i="10"/>
  <c r="T76" i="10"/>
  <c r="T77" i="10"/>
  <c r="T73" i="10"/>
  <c r="T62" i="10"/>
  <c r="T63" i="10"/>
  <c r="T64" i="10"/>
  <c r="T65" i="10"/>
  <c r="T61" i="10"/>
  <c r="T68" i="10"/>
  <c r="T69" i="10"/>
  <c r="T70" i="10"/>
  <c r="T71" i="10"/>
  <c r="T67" i="10"/>
  <c r="T56" i="10"/>
  <c r="T57" i="10"/>
  <c r="T58" i="10"/>
  <c r="T59" i="10"/>
  <c r="T55" i="10"/>
  <c r="D38" i="2" l="1"/>
  <c r="D106" i="2"/>
  <c r="G139" i="2" l="1"/>
  <c r="H139" i="2" s="1"/>
  <c r="E114" i="2" l="1"/>
  <c r="D11" i="2" l="1"/>
  <c r="F81" i="10"/>
  <c r="F79" i="10"/>
  <c r="F38" i="10" l="1"/>
  <c r="F51" i="5"/>
  <c r="F17" i="5"/>
  <c r="F3" i="5"/>
  <c r="F18" i="5"/>
  <c r="F7" i="5"/>
  <c r="F24" i="10"/>
  <c r="E5" i="5"/>
  <c r="E17" i="5" l="1"/>
  <c r="E51" i="2"/>
  <c r="E43" i="2"/>
  <c r="E45" i="2"/>
  <c r="E38" i="2"/>
  <c r="E47" i="2"/>
  <c r="T76" i="11"/>
  <c r="O38" i="2"/>
  <c r="J38" i="2"/>
  <c r="T79" i="10"/>
  <c r="T87" i="10" l="1"/>
  <c r="T86" i="10"/>
  <c r="T50" i="10"/>
  <c r="O50" i="10"/>
  <c r="J50" i="10"/>
  <c r="E50" i="10"/>
  <c r="D50" i="10"/>
  <c r="T48" i="10"/>
  <c r="T44" i="10"/>
  <c r="O44" i="10"/>
  <c r="J44" i="10"/>
  <c r="E44" i="10"/>
  <c r="D44" i="10"/>
  <c r="T43" i="10"/>
  <c r="O43" i="10"/>
  <c r="J43" i="10"/>
  <c r="E43" i="10"/>
  <c r="D43" i="10"/>
  <c r="T42" i="10"/>
  <c r="T38" i="10"/>
  <c r="O38" i="10"/>
  <c r="J38" i="10"/>
  <c r="E38" i="10"/>
  <c r="D38" i="10"/>
  <c r="T35" i="10"/>
  <c r="T34" i="10"/>
  <c r="T33" i="10"/>
  <c r="T27" i="10" l="1"/>
  <c r="T26" i="10"/>
  <c r="T25" i="10"/>
  <c r="D25" i="10"/>
  <c r="T24" i="10"/>
  <c r="O24" i="10"/>
  <c r="J24" i="10"/>
  <c r="E24" i="10"/>
  <c r="D24" i="10"/>
  <c r="T22" i="10"/>
  <c r="T21" i="10"/>
  <c r="T20" i="10"/>
  <c r="T17" i="10"/>
  <c r="T16" i="10"/>
  <c r="D7" i="10"/>
  <c r="T10" i="10"/>
  <c r="T9" i="10"/>
  <c r="T7" i="10"/>
  <c r="T6" i="10"/>
  <c r="E9" i="5"/>
  <c r="E8" i="5"/>
  <c r="T78" i="11" l="1"/>
  <c r="T74" i="11"/>
  <c r="O4" i="11"/>
  <c r="J4" i="11"/>
  <c r="E4" i="11"/>
  <c r="D78" i="11" l="1"/>
  <c r="D149" i="2" l="1"/>
  <c r="O149" i="2"/>
  <c r="J149" i="2"/>
  <c r="T11" i="11"/>
  <c r="T4" i="11"/>
  <c r="D4" i="11"/>
  <c r="T44" i="11"/>
  <c r="T43" i="11"/>
  <c r="T40" i="11"/>
  <c r="T37" i="11"/>
  <c r="T34" i="11"/>
  <c r="T27" i="11"/>
  <c r="T20" i="11"/>
  <c r="T13" i="11"/>
  <c r="T14" i="11"/>
  <c r="T15" i="11"/>
  <c r="T12" i="11"/>
  <c r="T10" i="11"/>
  <c r="T6" i="11"/>
  <c r="I47" i="11" l="1"/>
  <c r="T3" i="5" l="1"/>
  <c r="O3" i="5"/>
  <c r="J3" i="5"/>
  <c r="E3" i="5"/>
  <c r="T18" i="5"/>
  <c r="T17" i="5"/>
  <c r="C32" i="2" l="1"/>
  <c r="D3" i="5"/>
  <c r="T13" i="5"/>
  <c r="T12" i="5"/>
  <c r="T9" i="5"/>
  <c r="T8" i="5"/>
  <c r="T7" i="5"/>
  <c r="T30" i="5"/>
  <c r="T31" i="5"/>
  <c r="O31" i="5"/>
  <c r="J31" i="5"/>
  <c r="E31" i="5"/>
  <c r="D31" i="5"/>
  <c r="O30" i="5"/>
  <c r="J30" i="5"/>
  <c r="E30" i="5"/>
  <c r="D30" i="5"/>
  <c r="T21" i="9"/>
  <c r="T77" i="11"/>
  <c r="T67" i="11"/>
  <c r="D67" i="11" l="1"/>
  <c r="T56" i="11"/>
  <c r="O56" i="11"/>
  <c r="J56" i="11"/>
  <c r="E56" i="11"/>
  <c r="D56" i="11"/>
  <c r="K4" i="12"/>
  <c r="N4" i="12"/>
  <c r="P4" i="12"/>
  <c r="S4" i="12"/>
  <c r="O7" i="12"/>
  <c r="J7" i="12"/>
  <c r="E7" i="12"/>
  <c r="T7" i="12"/>
  <c r="D7" i="12"/>
  <c r="E9" i="12" l="1"/>
  <c r="J9" i="12"/>
  <c r="K9" i="12"/>
  <c r="L9" i="12"/>
  <c r="N9" i="12"/>
  <c r="O9" i="12"/>
  <c r="P9" i="12"/>
  <c r="Q9" i="12"/>
  <c r="R9" i="12"/>
  <c r="S9" i="12"/>
  <c r="T9" i="12"/>
  <c r="D9" i="12"/>
  <c r="E8" i="12"/>
  <c r="K8" i="12"/>
  <c r="N8" i="12"/>
  <c r="P8" i="12"/>
  <c r="S8" i="12"/>
  <c r="K3" i="12"/>
  <c r="N3" i="12"/>
  <c r="P3" i="12"/>
  <c r="S3" i="12"/>
  <c r="D7" i="2"/>
  <c r="T57" i="2"/>
  <c r="T53" i="2"/>
  <c r="T51" i="2"/>
  <c r="T41" i="2"/>
  <c r="T42" i="2"/>
  <c r="T43" i="2"/>
  <c r="T44" i="2"/>
  <c r="T45" i="2"/>
  <c r="T46" i="2"/>
  <c r="T47" i="2"/>
  <c r="T48" i="2"/>
  <c r="T40" i="2"/>
  <c r="T37" i="2"/>
  <c r="T38" i="2"/>
  <c r="T36" i="2"/>
  <c r="T150" i="2" l="1"/>
  <c r="T151" i="2"/>
  <c r="T149" i="2"/>
  <c r="T147" i="2"/>
  <c r="T133" i="2" l="1"/>
  <c r="T134" i="2"/>
  <c r="T135" i="2"/>
  <c r="T136" i="2"/>
  <c r="T137" i="2"/>
  <c r="T138" i="2"/>
  <c r="T132" i="2"/>
  <c r="T128" i="2"/>
  <c r="T118" i="2"/>
  <c r="T121" i="2"/>
  <c r="T122" i="2"/>
  <c r="T120" i="2"/>
  <c r="T125" i="2"/>
  <c r="T116" i="2"/>
  <c r="T117" i="2"/>
  <c r="T115" i="2"/>
  <c r="T111" i="2"/>
  <c r="T110" i="2"/>
  <c r="T106" i="2"/>
  <c r="T107" i="2"/>
  <c r="T108" i="2"/>
  <c r="T105" i="2"/>
  <c r="T139" i="2"/>
  <c r="T94" i="2"/>
  <c r="T84" i="2"/>
  <c r="T85" i="2"/>
  <c r="T86" i="2"/>
  <c r="T87" i="2"/>
  <c r="T88" i="2"/>
  <c r="T89" i="2"/>
  <c r="T83" i="2"/>
  <c r="T77" i="2"/>
  <c r="T78" i="2"/>
  <c r="T79" i="2"/>
  <c r="T80" i="2"/>
  <c r="T81" i="2"/>
  <c r="T76" i="2"/>
  <c r="T70" i="2"/>
  <c r="T71" i="2"/>
  <c r="T72" i="2"/>
  <c r="T69" i="2"/>
  <c r="T67" i="2"/>
  <c r="T31" i="2"/>
  <c r="T171" i="2"/>
  <c r="T168" i="2"/>
  <c r="T169" i="2"/>
  <c r="T162" i="2"/>
  <c r="O28" i="2"/>
  <c r="O27" i="2"/>
  <c r="O25" i="2"/>
  <c r="O23" i="2"/>
  <c r="O14" i="2"/>
  <c r="O12" i="2"/>
  <c r="O7" i="2"/>
  <c r="O8" i="2"/>
  <c r="O9" i="2"/>
  <c r="J28" i="2"/>
  <c r="J27" i="2"/>
  <c r="J25" i="2"/>
  <c r="J23" i="2"/>
  <c r="J12" i="2"/>
  <c r="J7" i="2"/>
  <c r="J8" i="2"/>
  <c r="J9" i="2"/>
  <c r="E28" i="2"/>
  <c r="E27" i="2"/>
  <c r="E25" i="2"/>
  <c r="E23" i="2"/>
  <c r="E12" i="2"/>
  <c r="E7" i="2"/>
  <c r="E9" i="2"/>
  <c r="T24" i="2"/>
  <c r="T25" i="2"/>
  <c r="T26" i="2"/>
  <c r="T27" i="2"/>
  <c r="T28" i="2"/>
  <c r="T23" i="2"/>
  <c r="T14" i="2"/>
  <c r="T12" i="2"/>
  <c r="T11" i="2"/>
  <c r="T7" i="2"/>
  <c r="T8" i="2"/>
  <c r="T9" i="2"/>
  <c r="T6" i="2"/>
  <c r="C25" i="2" l="1"/>
  <c r="C81" i="10"/>
  <c r="C80" i="10"/>
  <c r="C38" i="10"/>
  <c r="C24" i="10"/>
  <c r="L6" i="2" l="1"/>
  <c r="D70" i="11"/>
  <c r="U60" i="11"/>
  <c r="T60" i="11"/>
  <c r="V63" i="11"/>
  <c r="W63" i="11" s="1"/>
  <c r="V64" i="11"/>
  <c r="W64" i="11" s="1"/>
  <c r="V65" i="11"/>
  <c r="W65" i="11" s="1"/>
  <c r="V66" i="11"/>
  <c r="W66" i="11" s="1"/>
  <c r="V67" i="11"/>
  <c r="W67" i="11" s="1"/>
  <c r="V68" i="11"/>
  <c r="W68" i="11"/>
  <c r="V69" i="11"/>
  <c r="W69" i="11" s="1"/>
  <c r="Q63" i="11"/>
  <c r="R63" i="11" s="1"/>
  <c r="Q64" i="11"/>
  <c r="R64" i="11" s="1"/>
  <c r="Q65" i="11"/>
  <c r="R65" i="11" s="1"/>
  <c r="Q66" i="11"/>
  <c r="R66" i="11" s="1"/>
  <c r="Q67" i="11"/>
  <c r="R67" i="11" s="1"/>
  <c r="Q68" i="11"/>
  <c r="R68" i="11" s="1"/>
  <c r="Q69" i="11"/>
  <c r="R69" i="11" s="1"/>
  <c r="L63" i="11"/>
  <c r="M63" i="11" s="1"/>
  <c r="L64" i="11"/>
  <c r="M64" i="11" s="1"/>
  <c r="L65" i="11"/>
  <c r="M65" i="11" s="1"/>
  <c r="L66" i="11"/>
  <c r="M66" i="11" s="1"/>
  <c r="L67" i="11"/>
  <c r="M67" i="11" s="1"/>
  <c r="L68" i="11"/>
  <c r="M68" i="11" s="1"/>
  <c r="L69" i="11"/>
  <c r="M69" i="11" s="1"/>
  <c r="G63" i="11"/>
  <c r="H63" i="11" s="1"/>
  <c r="G64" i="11"/>
  <c r="H64" i="11" s="1"/>
  <c r="G65" i="11"/>
  <c r="H65" i="11" s="1"/>
  <c r="G66" i="11"/>
  <c r="H66" i="11" s="1"/>
  <c r="G67" i="11"/>
  <c r="H67" i="11" s="1"/>
  <c r="G68" i="11"/>
  <c r="H68" i="11" s="1"/>
  <c r="G69" i="11"/>
  <c r="H69" i="11" s="1"/>
  <c r="C60" i="11"/>
  <c r="L51" i="11"/>
  <c r="M51" i="11" s="1"/>
  <c r="Q51" i="11"/>
  <c r="R51" i="11" s="1"/>
  <c r="V51" i="11"/>
  <c r="W51" i="11" s="1"/>
  <c r="U52" i="11"/>
  <c r="T52" i="11"/>
  <c r="P52" i="11"/>
  <c r="O52" i="11"/>
  <c r="K52" i="11"/>
  <c r="J52" i="11"/>
  <c r="O36" i="11"/>
  <c r="J36" i="11"/>
  <c r="C36" i="11"/>
  <c r="U26" i="11"/>
  <c r="T26" i="11"/>
  <c r="O26" i="11"/>
  <c r="P26" i="11"/>
  <c r="K26" i="11"/>
  <c r="K25" i="11" s="1"/>
  <c r="J26" i="11"/>
  <c r="D26" i="11"/>
  <c r="E26" i="11"/>
  <c r="C26" i="11"/>
  <c r="L44" i="11"/>
  <c r="M44" i="11" s="1"/>
  <c r="L45" i="11"/>
  <c r="M45" i="11" s="1"/>
  <c r="G44" i="11"/>
  <c r="H44" i="11" s="1"/>
  <c r="G45" i="11"/>
  <c r="H45" i="11" s="1"/>
  <c r="V45" i="11"/>
  <c r="W45" i="11" s="1"/>
  <c r="U36" i="11"/>
  <c r="T36" i="11"/>
  <c r="V37" i="11"/>
  <c r="W37" i="11" s="1"/>
  <c r="V38" i="11"/>
  <c r="W38" i="11" s="1"/>
  <c r="V39" i="11"/>
  <c r="W39" i="11" s="1"/>
  <c r="V40" i="11"/>
  <c r="W40" i="11" s="1"/>
  <c r="V41" i="11"/>
  <c r="W41" i="11" s="1"/>
  <c r="V42" i="11"/>
  <c r="W42" i="11" s="1"/>
  <c r="V43" i="11"/>
  <c r="W43" i="11" s="1"/>
  <c r="V44" i="11"/>
  <c r="W44" i="11" s="1"/>
  <c r="Q37" i="11"/>
  <c r="R37" i="11" s="1"/>
  <c r="Q38" i="11"/>
  <c r="R38" i="11" s="1"/>
  <c r="Q39" i="11"/>
  <c r="R39" i="11" s="1"/>
  <c r="Q40" i="11"/>
  <c r="R40" i="11" s="1"/>
  <c r="Q41" i="11"/>
  <c r="R41" i="11" s="1"/>
  <c r="Q42" i="11"/>
  <c r="R42" i="11" s="1"/>
  <c r="Q43" i="11"/>
  <c r="R43" i="11" s="1"/>
  <c r="P36" i="11"/>
  <c r="L37" i="11"/>
  <c r="M37" i="11" s="1"/>
  <c r="L38" i="11"/>
  <c r="M38" i="11" s="1"/>
  <c r="L39" i="11"/>
  <c r="M39" i="11" s="1"/>
  <c r="L40" i="11"/>
  <c r="M40" i="11" s="1"/>
  <c r="L41" i="11"/>
  <c r="M41" i="11" s="1"/>
  <c r="L42" i="11"/>
  <c r="M42" i="11" s="1"/>
  <c r="L43" i="11"/>
  <c r="M43" i="11" s="1"/>
  <c r="K36" i="11"/>
  <c r="F36" i="11"/>
  <c r="G37" i="11"/>
  <c r="H37" i="11" s="1"/>
  <c r="G38" i="11"/>
  <c r="H38" i="11" s="1"/>
  <c r="G39" i="11"/>
  <c r="H39" i="11" s="1"/>
  <c r="G40" i="11"/>
  <c r="H40" i="11" s="1"/>
  <c r="G41" i="11"/>
  <c r="H41" i="11" s="1"/>
  <c r="G42" i="11"/>
  <c r="H42" i="11" s="1"/>
  <c r="G43" i="11"/>
  <c r="H43" i="11" s="1"/>
  <c r="D36" i="11"/>
  <c r="E36" i="11"/>
  <c r="V35" i="11"/>
  <c r="W35" i="11" s="1"/>
  <c r="Q35" i="11"/>
  <c r="R35" i="11" s="1"/>
  <c r="L35" i="11"/>
  <c r="M35" i="11" s="1"/>
  <c r="G31" i="11"/>
  <c r="H31" i="11" s="1"/>
  <c r="G32" i="11"/>
  <c r="H32" i="11" s="1"/>
  <c r="G33" i="11"/>
  <c r="H33" i="11" s="1"/>
  <c r="G34" i="11"/>
  <c r="H34" i="11" s="1"/>
  <c r="G35" i="11"/>
  <c r="H35" i="11" s="1"/>
  <c r="L31" i="11"/>
  <c r="M31" i="11" s="1"/>
  <c r="L32" i="11"/>
  <c r="M32" i="11" s="1"/>
  <c r="L33" i="11"/>
  <c r="M33" i="11" s="1"/>
  <c r="L34" i="11"/>
  <c r="M34" i="11" s="1"/>
  <c r="Q31" i="11"/>
  <c r="R31" i="11"/>
  <c r="Q32" i="11"/>
  <c r="R32" i="11" s="1"/>
  <c r="Q33" i="11"/>
  <c r="R33" i="11" s="1"/>
  <c r="Q34" i="11"/>
  <c r="R34" i="11" s="1"/>
  <c r="V31" i="11"/>
  <c r="W31" i="11" s="1"/>
  <c r="V32" i="11"/>
  <c r="W32" i="11" s="1"/>
  <c r="V33" i="11"/>
  <c r="W33" i="11" s="1"/>
  <c r="V34" i="11"/>
  <c r="W34" i="11" s="1"/>
  <c r="V22" i="11"/>
  <c r="W22" i="11" s="1"/>
  <c r="V23" i="11"/>
  <c r="W23" i="11" s="1"/>
  <c r="V24" i="11"/>
  <c r="W24" i="11" s="1"/>
  <c r="Q22" i="11"/>
  <c r="R22" i="11" s="1"/>
  <c r="Q23" i="11"/>
  <c r="R23" i="11" s="1"/>
  <c r="Q24" i="11"/>
  <c r="R24" i="11" s="1"/>
  <c r="M22" i="11"/>
  <c r="M23" i="11"/>
  <c r="M24" i="11"/>
  <c r="J11" i="11"/>
  <c r="E11" i="11"/>
  <c r="G13" i="11"/>
  <c r="H13" i="11" s="1"/>
  <c r="G14" i="11"/>
  <c r="H14" i="11" s="1"/>
  <c r="G15" i="11"/>
  <c r="H15" i="11" s="1"/>
  <c r="G16" i="11"/>
  <c r="H16" i="11" s="1"/>
  <c r="G17" i="11"/>
  <c r="H17" i="11" s="1"/>
  <c r="G18" i="11"/>
  <c r="H18" i="11" s="1"/>
  <c r="G19" i="11"/>
  <c r="H19" i="11" s="1"/>
  <c r="G20" i="11"/>
  <c r="H20" i="11" s="1"/>
  <c r="G10" i="11"/>
  <c r="H10" i="11" s="1"/>
  <c r="G9" i="11"/>
  <c r="V10" i="11"/>
  <c r="W10" i="11" s="1"/>
  <c r="V13" i="11"/>
  <c r="W13" i="11" s="1"/>
  <c r="V14" i="11"/>
  <c r="W14" i="11" s="1"/>
  <c r="V15" i="11"/>
  <c r="W15" i="11" s="1"/>
  <c r="V16" i="11"/>
  <c r="W16" i="11" s="1"/>
  <c r="V17" i="11"/>
  <c r="W17" i="11" s="1"/>
  <c r="V18" i="11"/>
  <c r="W18" i="11" s="1"/>
  <c r="V19" i="11"/>
  <c r="W19" i="11" s="1"/>
  <c r="V20" i="11"/>
  <c r="W20" i="11" s="1"/>
  <c r="U11" i="11"/>
  <c r="Q10" i="11"/>
  <c r="R10" i="11" s="1"/>
  <c r="Q13" i="11"/>
  <c r="R13" i="11" s="1"/>
  <c r="Q14" i="11"/>
  <c r="R14" i="11" s="1"/>
  <c r="Q15" i="11"/>
  <c r="R15" i="11" s="1"/>
  <c r="Q16" i="11"/>
  <c r="R16" i="11" s="1"/>
  <c r="Q17" i="11"/>
  <c r="R17" i="11" s="1"/>
  <c r="Q18" i="11"/>
  <c r="R18" i="11" s="1"/>
  <c r="Q19" i="11"/>
  <c r="R19" i="11" s="1"/>
  <c r="Q20" i="11"/>
  <c r="R20" i="11" s="1"/>
  <c r="P11" i="11"/>
  <c r="O11" i="11"/>
  <c r="L10" i="11"/>
  <c r="M10" i="11" s="1"/>
  <c r="L13" i="11"/>
  <c r="M13" i="11" s="1"/>
  <c r="L14" i="11"/>
  <c r="M14" i="11" s="1"/>
  <c r="L15" i="11"/>
  <c r="M15" i="11" s="1"/>
  <c r="L16" i="11"/>
  <c r="M16" i="11" s="1"/>
  <c r="L17" i="11"/>
  <c r="M17" i="11" s="1"/>
  <c r="L18" i="11"/>
  <c r="M18" i="11" s="1"/>
  <c r="L19" i="11"/>
  <c r="M19" i="11" s="1"/>
  <c r="K11" i="11"/>
  <c r="F55" i="11"/>
  <c r="C55" i="11"/>
  <c r="H51" i="11"/>
  <c r="F52" i="11"/>
  <c r="D52" i="11"/>
  <c r="E52" i="11"/>
  <c r="C52" i="11"/>
  <c r="Q36" i="11" l="1"/>
  <c r="R36" i="11" s="1"/>
  <c r="L36" i="11"/>
  <c r="M36" i="11" s="1"/>
  <c r="C25" i="11"/>
  <c r="P25" i="11"/>
  <c r="U25" i="11"/>
  <c r="G36" i="11"/>
  <c r="H36" i="11" s="1"/>
  <c r="C49" i="11"/>
  <c r="L11" i="11"/>
  <c r="Q11" i="11"/>
  <c r="V36" i="11"/>
  <c r="W36" i="11" s="1"/>
  <c r="F49" i="11"/>
  <c r="C4" i="11" l="1"/>
  <c r="G22" i="11"/>
  <c r="H22" i="11" s="1"/>
  <c r="G23" i="11"/>
  <c r="H23" i="11" s="1"/>
  <c r="G24" i="11"/>
  <c r="H24" i="11" s="1"/>
  <c r="F11" i="11"/>
  <c r="G11" i="11" s="1"/>
  <c r="D11" i="11"/>
  <c r="C11" i="11"/>
  <c r="C3" i="11" l="1"/>
  <c r="C47" i="11" s="1"/>
  <c r="D3" i="11"/>
  <c r="V30" i="11"/>
  <c r="W30" i="11" s="1"/>
  <c r="Q30" i="11"/>
  <c r="R30" i="11" s="1"/>
  <c r="L30" i="11"/>
  <c r="M30" i="11" s="1"/>
  <c r="G30" i="11"/>
  <c r="H30" i="11" s="1"/>
  <c r="V29" i="11"/>
  <c r="W29" i="11" s="1"/>
  <c r="Q29" i="11"/>
  <c r="R29" i="11" s="1"/>
  <c r="L29" i="11"/>
  <c r="M29" i="11" s="1"/>
  <c r="G29" i="11"/>
  <c r="H29" i="11" s="1"/>
  <c r="V28" i="11"/>
  <c r="W28" i="11" s="1"/>
  <c r="Q28" i="11"/>
  <c r="R28" i="11" s="1"/>
  <c r="L28" i="11"/>
  <c r="M28" i="11" s="1"/>
  <c r="G28" i="11"/>
  <c r="H28" i="11" s="1"/>
  <c r="V27" i="11"/>
  <c r="W27" i="11" s="1"/>
  <c r="Q27" i="11"/>
  <c r="R27" i="11" s="1"/>
  <c r="L27" i="11"/>
  <c r="M27" i="11" s="1"/>
  <c r="G27" i="11"/>
  <c r="H27" i="11" s="1"/>
  <c r="F26" i="11"/>
  <c r="F25" i="11" s="1"/>
  <c r="L20" i="11"/>
  <c r="M20" i="11" s="1"/>
  <c r="V12" i="11"/>
  <c r="W12" i="11" s="1"/>
  <c r="Q12" i="11"/>
  <c r="R12" i="11" s="1"/>
  <c r="L12" i="11"/>
  <c r="G12" i="11"/>
  <c r="V9" i="11"/>
  <c r="W9" i="11" s="1"/>
  <c r="Q9" i="11"/>
  <c r="R9" i="11" s="1"/>
  <c r="L9" i="11"/>
  <c r="M9" i="11" s="1"/>
  <c r="H9" i="11"/>
  <c r="V8" i="11"/>
  <c r="W8" i="11" s="1"/>
  <c r="Q8" i="11"/>
  <c r="R8" i="11" s="1"/>
  <c r="L8" i="11"/>
  <c r="M8" i="11" s="1"/>
  <c r="G8" i="11"/>
  <c r="H8" i="11" s="1"/>
  <c r="V7" i="11"/>
  <c r="W7" i="11" s="1"/>
  <c r="Q7" i="11"/>
  <c r="R7" i="11" s="1"/>
  <c r="L7" i="11"/>
  <c r="M7" i="11" s="1"/>
  <c r="G7" i="11"/>
  <c r="H7" i="11" s="1"/>
  <c r="V6" i="11"/>
  <c r="W6" i="11" s="1"/>
  <c r="Q6" i="11"/>
  <c r="R6" i="11" s="1"/>
  <c r="L6" i="11"/>
  <c r="M6" i="11" s="1"/>
  <c r="G6" i="11"/>
  <c r="H6" i="11" s="1"/>
  <c r="V5" i="11"/>
  <c r="W5" i="11" s="1"/>
  <c r="Q5" i="11"/>
  <c r="R5" i="11" s="1"/>
  <c r="L5" i="11"/>
  <c r="M5" i="11" s="1"/>
  <c r="G5" i="11"/>
  <c r="H5" i="11" s="1"/>
  <c r="U4" i="11"/>
  <c r="P4" i="11"/>
  <c r="K4" i="11"/>
  <c r="F3" i="11"/>
  <c r="E3" i="11"/>
  <c r="F47" i="11" l="1"/>
  <c r="Q4" i="11"/>
  <c r="G3" i="11"/>
  <c r="J3" i="11"/>
  <c r="Q21" i="11"/>
  <c r="R21" i="11" s="1"/>
  <c r="M12" i="11"/>
  <c r="H12" i="11"/>
  <c r="V21" i="11"/>
  <c r="W21" i="11" s="1"/>
  <c r="G26" i="11"/>
  <c r="H26" i="11" s="1"/>
  <c r="M21" i="11"/>
  <c r="Q26" i="11"/>
  <c r="R26" i="11" s="1"/>
  <c r="O3" i="11"/>
  <c r="V26" i="11"/>
  <c r="W26" i="11" s="1"/>
  <c r="H21" i="11"/>
  <c r="T3" i="11"/>
  <c r="G4" i="11"/>
  <c r="L26" i="11"/>
  <c r="M26" i="11" s="1"/>
  <c r="M11" i="11"/>
  <c r="V4" i="11"/>
  <c r="W4" i="11" s="1"/>
  <c r="L4" i="11"/>
  <c r="M4" i="11" s="1"/>
  <c r="V11" i="11"/>
  <c r="W11" i="11" s="1"/>
  <c r="R4" i="11"/>
  <c r="K3" i="11"/>
  <c r="H11" i="11"/>
  <c r="R11" i="11"/>
  <c r="P33" i="2"/>
  <c r="V97" i="2"/>
  <c r="W97" i="2" s="1"/>
  <c r="C68" i="2"/>
  <c r="K63" i="2"/>
  <c r="L63" i="2"/>
  <c r="M63" i="2"/>
  <c r="N63" i="2"/>
  <c r="O63" i="2"/>
  <c r="O59" i="2" s="1"/>
  <c r="P63" i="2"/>
  <c r="Q63" i="2"/>
  <c r="R63" i="2"/>
  <c r="S63" i="2"/>
  <c r="T63" i="2"/>
  <c r="K60" i="2"/>
  <c r="L60" i="2"/>
  <c r="M60" i="2"/>
  <c r="N60" i="2"/>
  <c r="O60" i="2"/>
  <c r="P60" i="2"/>
  <c r="Q60" i="2"/>
  <c r="R60" i="2"/>
  <c r="S60" i="2"/>
  <c r="T60" i="2"/>
  <c r="D60" i="2"/>
  <c r="E60" i="2"/>
  <c r="F60" i="2"/>
  <c r="G60" i="2"/>
  <c r="H60" i="2"/>
  <c r="I60" i="2"/>
  <c r="J60" i="2"/>
  <c r="D63" i="2"/>
  <c r="E63" i="2"/>
  <c r="F63" i="2"/>
  <c r="G63" i="2"/>
  <c r="H63" i="2"/>
  <c r="I63" i="2"/>
  <c r="J63" i="2"/>
  <c r="J59" i="2" s="1"/>
  <c r="C63" i="2"/>
  <c r="C60" i="2"/>
  <c r="C35" i="2"/>
  <c r="C22" i="2"/>
  <c r="C66" i="10"/>
  <c r="L143" i="2"/>
  <c r="D22" i="2"/>
  <c r="C59" i="2" l="1"/>
  <c r="H4" i="11"/>
  <c r="L3" i="11"/>
  <c r="M3" i="11" s="1"/>
  <c r="H3" i="11"/>
  <c r="U3" i="11"/>
  <c r="V3" i="11" s="1"/>
  <c r="W3" i="11" s="1"/>
  <c r="P3" i="11"/>
  <c r="Q3" i="11" s="1"/>
  <c r="R3" i="11" s="1"/>
  <c r="T96" i="2"/>
  <c r="P96" i="2"/>
  <c r="O96" i="2"/>
  <c r="Q97" i="2"/>
  <c r="R97" i="2" s="1"/>
  <c r="K96" i="2"/>
  <c r="J96" i="2"/>
  <c r="L97" i="2"/>
  <c r="M97" i="2" s="1"/>
  <c r="D96" i="2"/>
  <c r="E96" i="2"/>
  <c r="F96" i="2"/>
  <c r="G97" i="2"/>
  <c r="H97" i="2" s="1"/>
  <c r="C96" i="2"/>
  <c r="C17" i="9"/>
  <c r="L96" i="2" l="1"/>
  <c r="M96" i="2" s="1"/>
  <c r="Q96" i="2"/>
  <c r="R96" i="2" s="1"/>
  <c r="C11" i="10"/>
  <c r="U20" i="12"/>
  <c r="U17" i="12"/>
  <c r="U15" i="12"/>
  <c r="S17" i="12"/>
  <c r="S20" i="12" s="1"/>
  <c r="C5" i="12"/>
  <c r="C15" i="12" s="1"/>
  <c r="C17" i="12" s="1"/>
  <c r="C20" i="12" s="1"/>
  <c r="V24" i="9" l="1"/>
  <c r="W24" i="9" s="1"/>
  <c r="V23" i="9"/>
  <c r="W23" i="9" s="1"/>
  <c r="V22" i="9"/>
  <c r="W22" i="9" s="1"/>
  <c r="V21" i="9"/>
  <c r="W21" i="9" s="1"/>
  <c r="V20" i="9"/>
  <c r="W20" i="9" s="1"/>
  <c r="V19" i="9"/>
  <c r="W19" i="9" s="1"/>
  <c r="V18" i="9"/>
  <c r="W18" i="9" s="1"/>
  <c r="U17" i="9"/>
  <c r="U16" i="9" s="1"/>
  <c r="V16" i="9" s="1"/>
  <c r="W16" i="9" s="1"/>
  <c r="T17" i="9"/>
  <c r="T16" i="9" s="1"/>
  <c r="V15" i="9"/>
  <c r="W15" i="9" s="1"/>
  <c r="V14" i="9"/>
  <c r="W14" i="9" s="1"/>
  <c r="V13" i="9"/>
  <c r="W13" i="9" s="1"/>
  <c r="V12" i="9"/>
  <c r="W12" i="9" s="1"/>
  <c r="V11" i="9"/>
  <c r="W11" i="9" s="1"/>
  <c r="V10" i="9"/>
  <c r="W10" i="9" s="1"/>
  <c r="V9" i="9"/>
  <c r="W9" i="9" s="1"/>
  <c r="U8" i="9"/>
  <c r="T8" i="9"/>
  <c r="V7" i="9"/>
  <c r="W7" i="9" s="1"/>
  <c r="V6" i="9"/>
  <c r="W6" i="9" s="1"/>
  <c r="V5" i="9"/>
  <c r="W5" i="9" s="1"/>
  <c r="V4" i="9"/>
  <c r="W4" i="9" s="1"/>
  <c r="U3" i="9"/>
  <c r="T3" i="9"/>
  <c r="Q24" i="9"/>
  <c r="R24" i="9" s="1"/>
  <c r="Q23" i="9"/>
  <c r="R23" i="9" s="1"/>
  <c r="Q22" i="9"/>
  <c r="R22" i="9" s="1"/>
  <c r="Q21" i="9"/>
  <c r="R21" i="9" s="1"/>
  <c r="Q20" i="9"/>
  <c r="R20" i="9" s="1"/>
  <c r="Q19" i="9"/>
  <c r="R19" i="9" s="1"/>
  <c r="Q18" i="9"/>
  <c r="R18" i="9" s="1"/>
  <c r="P17" i="9"/>
  <c r="P16" i="9" s="1"/>
  <c r="O17" i="9"/>
  <c r="O16" i="9" s="1"/>
  <c r="Q15" i="9"/>
  <c r="R15" i="9" s="1"/>
  <c r="Q14" i="9"/>
  <c r="R14" i="9" s="1"/>
  <c r="Q13" i="9"/>
  <c r="R13" i="9" s="1"/>
  <c r="Q12" i="9"/>
  <c r="R12" i="9" s="1"/>
  <c r="Q11" i="9"/>
  <c r="R11" i="9" s="1"/>
  <c r="Q10" i="9"/>
  <c r="R10" i="9" s="1"/>
  <c r="Q9" i="9"/>
  <c r="R9" i="9" s="1"/>
  <c r="P8" i="9"/>
  <c r="O8" i="9"/>
  <c r="O32" i="5" s="1"/>
  <c r="Q32" i="5" s="1"/>
  <c r="R32" i="5" s="1"/>
  <c r="Q7" i="9"/>
  <c r="R7" i="9" s="1"/>
  <c r="Q6" i="9"/>
  <c r="R6" i="9" s="1"/>
  <c r="Q5" i="9"/>
  <c r="R5" i="9" s="1"/>
  <c r="Q4" i="9"/>
  <c r="R4" i="9" s="1"/>
  <c r="P3" i="9"/>
  <c r="O3" i="9"/>
  <c r="L24" i="9"/>
  <c r="M24" i="9" s="1"/>
  <c r="L23" i="9"/>
  <c r="M23" i="9" s="1"/>
  <c r="L22" i="9"/>
  <c r="M22" i="9" s="1"/>
  <c r="L21" i="9"/>
  <c r="M21" i="9" s="1"/>
  <c r="L20" i="9"/>
  <c r="M20" i="9" s="1"/>
  <c r="L19" i="9"/>
  <c r="M19" i="9" s="1"/>
  <c r="L18" i="9"/>
  <c r="M18" i="9" s="1"/>
  <c r="K17" i="9"/>
  <c r="K16" i="9" s="1"/>
  <c r="J17" i="9"/>
  <c r="J16" i="9" s="1"/>
  <c r="L15" i="9"/>
  <c r="M15" i="9" s="1"/>
  <c r="L14" i="9"/>
  <c r="M14" i="9" s="1"/>
  <c r="L13" i="9"/>
  <c r="M13" i="9" s="1"/>
  <c r="L12" i="9"/>
  <c r="M12" i="9" s="1"/>
  <c r="L11" i="9"/>
  <c r="M11" i="9" s="1"/>
  <c r="L10" i="9"/>
  <c r="M10" i="9" s="1"/>
  <c r="L9" i="9"/>
  <c r="M9" i="9" s="1"/>
  <c r="K8" i="9"/>
  <c r="J8" i="9"/>
  <c r="J32" i="5" s="1"/>
  <c r="L32" i="5" s="1"/>
  <c r="M32" i="5" s="1"/>
  <c r="L7" i="9"/>
  <c r="M7" i="9" s="1"/>
  <c r="L6" i="9"/>
  <c r="M6" i="9" s="1"/>
  <c r="L5" i="9"/>
  <c r="M5" i="9" s="1"/>
  <c r="L4" i="9"/>
  <c r="M4" i="9" s="1"/>
  <c r="K3" i="9"/>
  <c r="J3" i="9"/>
  <c r="V91" i="10"/>
  <c r="W91" i="10" s="1"/>
  <c r="V89" i="10"/>
  <c r="W89" i="10" s="1"/>
  <c r="V88" i="10"/>
  <c r="W88" i="10" s="1"/>
  <c r="V87" i="10"/>
  <c r="W87" i="10" s="1"/>
  <c r="V86" i="10"/>
  <c r="W86" i="10" s="1"/>
  <c r="V85" i="10"/>
  <c r="W85" i="10" s="1"/>
  <c r="V84" i="10"/>
  <c r="W84" i="10" s="1"/>
  <c r="V82" i="10"/>
  <c r="W82" i="10" s="1"/>
  <c r="V81" i="10"/>
  <c r="W81" i="10" s="1"/>
  <c r="V80" i="10"/>
  <c r="W80" i="10" s="1"/>
  <c r="V79" i="10"/>
  <c r="W79" i="10" s="1"/>
  <c r="V77" i="10"/>
  <c r="W77" i="10" s="1"/>
  <c r="V76" i="10"/>
  <c r="W76" i="10" s="1"/>
  <c r="V75" i="10"/>
  <c r="W75" i="10" s="1"/>
  <c r="V74" i="10"/>
  <c r="W74" i="10" s="1"/>
  <c r="V73" i="10"/>
  <c r="W73" i="10" s="1"/>
  <c r="V71" i="10"/>
  <c r="W71" i="10" s="1"/>
  <c r="V70" i="10"/>
  <c r="W70" i="10" s="1"/>
  <c r="V69" i="10"/>
  <c r="W69" i="10" s="1"/>
  <c r="V68" i="10"/>
  <c r="W68" i="10" s="1"/>
  <c r="V67" i="10"/>
  <c r="W67" i="10" s="1"/>
  <c r="U66" i="10"/>
  <c r="U72" i="10" s="1"/>
  <c r="T66" i="10"/>
  <c r="T72" i="10" s="1"/>
  <c r="V65" i="10"/>
  <c r="W65" i="10" s="1"/>
  <c r="V64" i="10"/>
  <c r="W64" i="10" s="1"/>
  <c r="V63" i="10"/>
  <c r="W63" i="10" s="1"/>
  <c r="V62" i="10"/>
  <c r="W62" i="10" s="1"/>
  <c r="V61" i="10"/>
  <c r="W61" i="10" s="1"/>
  <c r="V59" i="10"/>
  <c r="W59" i="10" s="1"/>
  <c r="V58" i="10"/>
  <c r="W58" i="10" s="1"/>
  <c r="V57" i="10"/>
  <c r="W57" i="10" s="1"/>
  <c r="V56" i="10"/>
  <c r="W56" i="10" s="1"/>
  <c r="V55" i="10"/>
  <c r="W55" i="10" s="1"/>
  <c r="U54" i="10"/>
  <c r="U60" i="10" s="1"/>
  <c r="T54" i="10"/>
  <c r="V52" i="10"/>
  <c r="W52" i="10" s="1"/>
  <c r="V51" i="10"/>
  <c r="W51" i="10" s="1"/>
  <c r="V50" i="10"/>
  <c r="W50" i="10" s="1"/>
  <c r="V49" i="10"/>
  <c r="W49" i="10" s="1"/>
  <c r="V48" i="10"/>
  <c r="W48" i="10" s="1"/>
  <c r="V46" i="10"/>
  <c r="W46" i="10" s="1"/>
  <c r="V45" i="10"/>
  <c r="W45" i="10" s="1"/>
  <c r="V44" i="10"/>
  <c r="W44" i="10" s="1"/>
  <c r="V43" i="10"/>
  <c r="W43" i="10" s="1"/>
  <c r="V42" i="10"/>
  <c r="W42" i="10" s="1"/>
  <c r="V40" i="10"/>
  <c r="W40" i="10" s="1"/>
  <c r="V39" i="10"/>
  <c r="W39" i="10" s="1"/>
  <c r="V38" i="10"/>
  <c r="W38" i="10" s="1"/>
  <c r="V37" i="10"/>
  <c r="W37" i="10" s="1"/>
  <c r="V36" i="10"/>
  <c r="W36" i="10" s="1"/>
  <c r="V35" i="10"/>
  <c r="W35" i="10" s="1"/>
  <c r="V34" i="10"/>
  <c r="W34" i="10" s="1"/>
  <c r="V33" i="10"/>
  <c r="W33" i="10" s="1"/>
  <c r="U32" i="10"/>
  <c r="T32" i="10"/>
  <c r="V30" i="10"/>
  <c r="W30" i="10" s="1"/>
  <c r="V29" i="10"/>
  <c r="W29" i="10" s="1"/>
  <c r="V28" i="10"/>
  <c r="W28" i="10" s="1"/>
  <c r="V27" i="10"/>
  <c r="W27" i="10" s="1"/>
  <c r="V26" i="10"/>
  <c r="W26" i="10" s="1"/>
  <c r="V25" i="10"/>
  <c r="W25" i="10" s="1"/>
  <c r="V24" i="10"/>
  <c r="W24" i="10" s="1"/>
  <c r="V23" i="10"/>
  <c r="W23" i="10" s="1"/>
  <c r="V22" i="10"/>
  <c r="W22" i="10" s="1"/>
  <c r="V21" i="10"/>
  <c r="W21" i="10" s="1"/>
  <c r="V20" i="10"/>
  <c r="W20" i="10" s="1"/>
  <c r="V19" i="10"/>
  <c r="W19" i="10" s="1"/>
  <c r="V18" i="10"/>
  <c r="W18" i="10" s="1"/>
  <c r="V17" i="10"/>
  <c r="W17" i="10" s="1"/>
  <c r="V16" i="10"/>
  <c r="W16" i="10" s="1"/>
  <c r="V13" i="10"/>
  <c r="W13" i="10" s="1"/>
  <c r="U11" i="10"/>
  <c r="T11" i="10"/>
  <c r="V10" i="10"/>
  <c r="W10" i="10" s="1"/>
  <c r="V9" i="10"/>
  <c r="W9" i="10" s="1"/>
  <c r="U8" i="10"/>
  <c r="T8" i="10"/>
  <c r="T5" i="10" s="1"/>
  <c r="V7" i="10"/>
  <c r="W7" i="10" s="1"/>
  <c r="V6" i="10"/>
  <c r="W6" i="10" s="1"/>
  <c r="U5" i="10"/>
  <c r="Q91" i="10"/>
  <c r="R91" i="10" s="1"/>
  <c r="Q89" i="10"/>
  <c r="R89" i="10" s="1"/>
  <c r="Q88" i="10"/>
  <c r="R88" i="10" s="1"/>
  <c r="Q87" i="10"/>
  <c r="R87" i="10" s="1"/>
  <c r="Q86" i="10"/>
  <c r="R86" i="10" s="1"/>
  <c r="Q85" i="10"/>
  <c r="R85" i="10" s="1"/>
  <c r="Q84" i="10"/>
  <c r="R84" i="10" s="1"/>
  <c r="Q82" i="10"/>
  <c r="R82" i="10" s="1"/>
  <c r="Q81" i="10"/>
  <c r="R81" i="10" s="1"/>
  <c r="R80" i="10"/>
  <c r="Q80" i="10"/>
  <c r="Q79" i="10"/>
  <c r="R79" i="10" s="1"/>
  <c r="Q77" i="10"/>
  <c r="R77" i="10" s="1"/>
  <c r="Q76" i="10"/>
  <c r="R76" i="10" s="1"/>
  <c r="Q75" i="10"/>
  <c r="R75" i="10" s="1"/>
  <c r="Q74" i="10"/>
  <c r="R74" i="10" s="1"/>
  <c r="Q73" i="10"/>
  <c r="R73" i="10" s="1"/>
  <c r="Q71" i="10"/>
  <c r="R71" i="10" s="1"/>
  <c r="Q70" i="10"/>
  <c r="R70" i="10" s="1"/>
  <c r="Q69" i="10"/>
  <c r="R69" i="10" s="1"/>
  <c r="Q68" i="10"/>
  <c r="R68" i="10" s="1"/>
  <c r="Q67" i="10"/>
  <c r="R67" i="10" s="1"/>
  <c r="P66" i="10"/>
  <c r="P72" i="10" s="1"/>
  <c r="O66" i="10"/>
  <c r="O72" i="10" s="1"/>
  <c r="Q65" i="10"/>
  <c r="R65" i="10" s="1"/>
  <c r="Q64" i="10"/>
  <c r="R64" i="10" s="1"/>
  <c r="Q63" i="10"/>
  <c r="R63" i="10" s="1"/>
  <c r="Q62" i="10"/>
  <c r="R62" i="10" s="1"/>
  <c r="Q61" i="10"/>
  <c r="R61" i="10" s="1"/>
  <c r="Q59" i="10"/>
  <c r="R59" i="10" s="1"/>
  <c r="Q58" i="10"/>
  <c r="R58" i="10" s="1"/>
  <c r="Q57" i="10"/>
  <c r="R57" i="10" s="1"/>
  <c r="Q56" i="10"/>
  <c r="R56" i="10" s="1"/>
  <c r="R55" i="10"/>
  <c r="Q55" i="10"/>
  <c r="P54" i="10"/>
  <c r="O54" i="10"/>
  <c r="O60" i="10" s="1"/>
  <c r="Q52" i="10"/>
  <c r="R52" i="10" s="1"/>
  <c r="Q51" i="10"/>
  <c r="R51" i="10" s="1"/>
  <c r="R50" i="10"/>
  <c r="Q50" i="10"/>
  <c r="Q49" i="10"/>
  <c r="R49" i="10" s="1"/>
  <c r="Q48" i="10"/>
  <c r="R48" i="10" s="1"/>
  <c r="Q46" i="10"/>
  <c r="R46" i="10" s="1"/>
  <c r="Q45" i="10"/>
  <c r="R45" i="10" s="1"/>
  <c r="Q44" i="10"/>
  <c r="R44" i="10" s="1"/>
  <c r="Q43" i="10"/>
  <c r="R43" i="10" s="1"/>
  <c r="Q42" i="10"/>
  <c r="R42" i="10" s="1"/>
  <c r="Q40" i="10"/>
  <c r="R40" i="10" s="1"/>
  <c r="Q39" i="10"/>
  <c r="R39" i="10" s="1"/>
  <c r="Q38" i="10"/>
  <c r="R38" i="10" s="1"/>
  <c r="Q37" i="10"/>
  <c r="R37" i="10" s="1"/>
  <c r="Q36" i="10"/>
  <c r="R36" i="10" s="1"/>
  <c r="Q35" i="10"/>
  <c r="R35" i="10" s="1"/>
  <c r="Q34" i="10"/>
  <c r="R34" i="10" s="1"/>
  <c r="Q33" i="10"/>
  <c r="R33" i="10" s="1"/>
  <c r="P32" i="10"/>
  <c r="O32" i="10"/>
  <c r="Q30" i="10"/>
  <c r="R30" i="10" s="1"/>
  <c r="Q29" i="10"/>
  <c r="R29" i="10" s="1"/>
  <c r="Q28" i="10"/>
  <c r="R28" i="10" s="1"/>
  <c r="Q27" i="10"/>
  <c r="R27" i="10" s="1"/>
  <c r="Q26" i="10"/>
  <c r="R26" i="10" s="1"/>
  <c r="Q25" i="10"/>
  <c r="R25" i="10" s="1"/>
  <c r="Q24" i="10"/>
  <c r="R24" i="10" s="1"/>
  <c r="Q23" i="10"/>
  <c r="R23" i="10" s="1"/>
  <c r="Q22" i="10"/>
  <c r="R22" i="10" s="1"/>
  <c r="Q21" i="10"/>
  <c r="R21" i="10" s="1"/>
  <c r="Q20" i="10"/>
  <c r="R20" i="10" s="1"/>
  <c r="Q19" i="10"/>
  <c r="R19" i="10" s="1"/>
  <c r="Q18" i="10"/>
  <c r="R18" i="10" s="1"/>
  <c r="Q17" i="10"/>
  <c r="R17" i="10" s="1"/>
  <c r="Q16" i="10"/>
  <c r="R16" i="10" s="1"/>
  <c r="Q13" i="10"/>
  <c r="R13" i="10" s="1"/>
  <c r="P11" i="10"/>
  <c r="O11" i="10"/>
  <c r="Q10" i="10"/>
  <c r="R10" i="10" s="1"/>
  <c r="Q9" i="10"/>
  <c r="R9" i="10" s="1"/>
  <c r="P8" i="10"/>
  <c r="O8" i="10"/>
  <c r="O5" i="10" s="1"/>
  <c r="Q7" i="10"/>
  <c r="R7" i="10" s="1"/>
  <c r="Q6" i="10"/>
  <c r="R6" i="10" s="1"/>
  <c r="L91" i="10"/>
  <c r="M91" i="10" s="1"/>
  <c r="L89" i="10"/>
  <c r="M89" i="10" s="1"/>
  <c r="L88" i="10"/>
  <c r="M88" i="10" s="1"/>
  <c r="L87" i="10"/>
  <c r="M87" i="10" s="1"/>
  <c r="L86" i="10"/>
  <c r="M86" i="10" s="1"/>
  <c r="L85" i="10"/>
  <c r="M85" i="10" s="1"/>
  <c r="L84" i="10"/>
  <c r="M84" i="10" s="1"/>
  <c r="L82" i="10"/>
  <c r="M82" i="10" s="1"/>
  <c r="L81" i="10"/>
  <c r="M81" i="10" s="1"/>
  <c r="L80" i="10"/>
  <c r="M80" i="10" s="1"/>
  <c r="L79" i="10"/>
  <c r="M79" i="10" s="1"/>
  <c r="L77" i="10"/>
  <c r="M77" i="10" s="1"/>
  <c r="L76" i="10"/>
  <c r="M76" i="10" s="1"/>
  <c r="L75" i="10"/>
  <c r="M75" i="10" s="1"/>
  <c r="L74" i="10"/>
  <c r="M74" i="10" s="1"/>
  <c r="L73" i="10"/>
  <c r="M73" i="10" s="1"/>
  <c r="L71" i="10"/>
  <c r="M71" i="10" s="1"/>
  <c r="L70" i="10"/>
  <c r="M70" i="10" s="1"/>
  <c r="L69" i="10"/>
  <c r="M69" i="10" s="1"/>
  <c r="L68" i="10"/>
  <c r="M68" i="10" s="1"/>
  <c r="L67" i="10"/>
  <c r="M67" i="10" s="1"/>
  <c r="K66" i="10"/>
  <c r="J66" i="10"/>
  <c r="J72" i="10" s="1"/>
  <c r="L65" i="10"/>
  <c r="M65" i="10" s="1"/>
  <c r="L64" i="10"/>
  <c r="M64" i="10" s="1"/>
  <c r="L63" i="10"/>
  <c r="M63" i="10" s="1"/>
  <c r="L62" i="10"/>
  <c r="M62" i="10" s="1"/>
  <c r="L61" i="10"/>
  <c r="M61" i="10" s="1"/>
  <c r="L59" i="10"/>
  <c r="M59" i="10" s="1"/>
  <c r="L58" i="10"/>
  <c r="M58" i="10" s="1"/>
  <c r="L57" i="10"/>
  <c r="M57" i="10" s="1"/>
  <c r="L56" i="10"/>
  <c r="M56" i="10" s="1"/>
  <c r="L55" i="10"/>
  <c r="M55" i="10" s="1"/>
  <c r="K54" i="10"/>
  <c r="K60" i="10" s="1"/>
  <c r="J54" i="10"/>
  <c r="L52" i="10"/>
  <c r="M52" i="10" s="1"/>
  <c r="L51" i="10"/>
  <c r="M51" i="10" s="1"/>
  <c r="L50" i="10"/>
  <c r="M50" i="10" s="1"/>
  <c r="L49" i="10"/>
  <c r="M49" i="10" s="1"/>
  <c r="L48" i="10"/>
  <c r="M48" i="10" s="1"/>
  <c r="L46" i="10"/>
  <c r="M46" i="10" s="1"/>
  <c r="L45" i="10"/>
  <c r="M45" i="10" s="1"/>
  <c r="L44" i="10"/>
  <c r="M44" i="10" s="1"/>
  <c r="L43" i="10"/>
  <c r="M43" i="10" s="1"/>
  <c r="L42" i="10"/>
  <c r="M42" i="10" s="1"/>
  <c r="M40" i="10"/>
  <c r="L40" i="10"/>
  <c r="L39" i="10"/>
  <c r="M39" i="10" s="1"/>
  <c r="L38" i="10"/>
  <c r="M38" i="10" s="1"/>
  <c r="L37" i="10"/>
  <c r="M37" i="10" s="1"/>
  <c r="L36" i="10"/>
  <c r="M36" i="10" s="1"/>
  <c r="L35" i="10"/>
  <c r="M35" i="10" s="1"/>
  <c r="L34" i="10"/>
  <c r="M34" i="10" s="1"/>
  <c r="L33" i="10"/>
  <c r="M33" i="10" s="1"/>
  <c r="K32" i="10"/>
  <c r="J32" i="10"/>
  <c r="L30" i="10"/>
  <c r="M30" i="10" s="1"/>
  <c r="L29" i="10"/>
  <c r="M29" i="10" s="1"/>
  <c r="L28" i="10"/>
  <c r="M28" i="10" s="1"/>
  <c r="L27" i="10"/>
  <c r="M27" i="10" s="1"/>
  <c r="L26" i="10"/>
  <c r="M26" i="10" s="1"/>
  <c r="L25" i="10"/>
  <c r="M25" i="10" s="1"/>
  <c r="L24" i="10"/>
  <c r="M24" i="10" s="1"/>
  <c r="L23" i="10"/>
  <c r="M23" i="10" s="1"/>
  <c r="L22" i="10"/>
  <c r="M22" i="10" s="1"/>
  <c r="L21" i="10"/>
  <c r="M21" i="10" s="1"/>
  <c r="M20" i="10"/>
  <c r="L20" i="10"/>
  <c r="L19" i="10"/>
  <c r="M19" i="10" s="1"/>
  <c r="L18" i="10"/>
  <c r="M18" i="10" s="1"/>
  <c r="L17" i="10"/>
  <c r="M17" i="10" s="1"/>
  <c r="M16" i="10"/>
  <c r="L16" i="10"/>
  <c r="L13" i="10"/>
  <c r="M13" i="10" s="1"/>
  <c r="K11" i="10"/>
  <c r="J11" i="10"/>
  <c r="L10" i="10"/>
  <c r="M10" i="10" s="1"/>
  <c r="L9" i="10"/>
  <c r="M9" i="10" s="1"/>
  <c r="K8" i="10"/>
  <c r="J8" i="10"/>
  <c r="L7" i="10"/>
  <c r="M7" i="10" s="1"/>
  <c r="L6" i="10"/>
  <c r="M6" i="10" s="1"/>
  <c r="V54" i="5"/>
  <c r="W54" i="5" s="1"/>
  <c r="V53" i="5"/>
  <c r="W53" i="5" s="1"/>
  <c r="V52" i="5"/>
  <c r="W52" i="5" s="1"/>
  <c r="V50" i="5"/>
  <c r="W50" i="5" s="1"/>
  <c r="V49" i="5"/>
  <c r="W49" i="5" s="1"/>
  <c r="V48" i="5"/>
  <c r="W48" i="5" s="1"/>
  <c r="V46" i="5"/>
  <c r="W46" i="5" s="1"/>
  <c r="V45" i="5"/>
  <c r="W45" i="5" s="1"/>
  <c r="V43" i="5"/>
  <c r="W43" i="5" s="1"/>
  <c r="V42" i="5"/>
  <c r="W42" i="5" s="1"/>
  <c r="V41" i="5"/>
  <c r="W41" i="5" s="1"/>
  <c r="U40" i="5"/>
  <c r="V40" i="5" s="1"/>
  <c r="W40" i="5" s="1"/>
  <c r="T40" i="5"/>
  <c r="V39" i="5"/>
  <c r="W39" i="5" s="1"/>
  <c r="V38" i="5"/>
  <c r="W38" i="5" s="1"/>
  <c r="V37" i="5"/>
  <c r="W37" i="5" s="1"/>
  <c r="U36" i="5"/>
  <c r="U44" i="5" s="1"/>
  <c r="T36" i="5"/>
  <c r="T44" i="5" s="1"/>
  <c r="W35" i="5"/>
  <c r="V33" i="5"/>
  <c r="W33" i="5" s="1"/>
  <c r="V31" i="5"/>
  <c r="W31" i="5" s="1"/>
  <c r="V30" i="5"/>
  <c r="W30" i="5" s="1"/>
  <c r="U29" i="5"/>
  <c r="U27" i="5" s="1"/>
  <c r="W28" i="5"/>
  <c r="V28" i="5"/>
  <c r="W26" i="5"/>
  <c r="V26" i="5"/>
  <c r="W25" i="5"/>
  <c r="V25" i="5"/>
  <c r="V24" i="5"/>
  <c r="W24" i="5" s="1"/>
  <c r="V23" i="5"/>
  <c r="W23" i="5" s="1"/>
  <c r="W22" i="5"/>
  <c r="V22" i="5"/>
  <c r="U21" i="5"/>
  <c r="V21" i="5" s="1"/>
  <c r="W21" i="5" s="1"/>
  <c r="T21" i="5"/>
  <c r="W20" i="5"/>
  <c r="V18" i="5"/>
  <c r="W18" i="5" s="1"/>
  <c r="V17" i="5"/>
  <c r="W17" i="5" s="1"/>
  <c r="U16" i="5"/>
  <c r="T16" i="5"/>
  <c r="V16" i="5" s="1"/>
  <c r="W16" i="5" s="1"/>
  <c r="V15" i="5"/>
  <c r="W15" i="5" s="1"/>
  <c r="V14" i="5"/>
  <c r="W14" i="5" s="1"/>
  <c r="V13" i="5"/>
  <c r="W13" i="5" s="1"/>
  <c r="V12" i="5"/>
  <c r="W12" i="5" s="1"/>
  <c r="V11" i="5"/>
  <c r="W11" i="5" s="1"/>
  <c r="V10" i="5"/>
  <c r="W10" i="5" s="1"/>
  <c r="V9" i="5"/>
  <c r="W9" i="5" s="1"/>
  <c r="V8" i="5"/>
  <c r="W8" i="5" s="1"/>
  <c r="V7" i="5"/>
  <c r="W7" i="5" s="1"/>
  <c r="U6" i="5"/>
  <c r="U5" i="5" s="1"/>
  <c r="T6" i="5"/>
  <c r="T5" i="5" s="1"/>
  <c r="U3" i="5"/>
  <c r="Q54" i="5"/>
  <c r="R54" i="5" s="1"/>
  <c r="Q53" i="5"/>
  <c r="R53" i="5" s="1"/>
  <c r="Q52" i="5"/>
  <c r="R52" i="5" s="1"/>
  <c r="Q50" i="5"/>
  <c r="R50" i="5" s="1"/>
  <c r="Q49" i="5"/>
  <c r="R49" i="5" s="1"/>
  <c r="Q48" i="5"/>
  <c r="R48" i="5" s="1"/>
  <c r="Q46" i="5"/>
  <c r="R46" i="5" s="1"/>
  <c r="Q45" i="5"/>
  <c r="R45" i="5" s="1"/>
  <c r="Q43" i="5"/>
  <c r="R43" i="5" s="1"/>
  <c r="Q42" i="5"/>
  <c r="R42" i="5" s="1"/>
  <c r="Q41" i="5"/>
  <c r="R41" i="5" s="1"/>
  <c r="Q40" i="5"/>
  <c r="R40" i="5" s="1"/>
  <c r="P40" i="5"/>
  <c r="O40" i="5"/>
  <c r="Q39" i="5"/>
  <c r="R39" i="5" s="1"/>
  <c r="Q38" i="5"/>
  <c r="R38" i="5" s="1"/>
  <c r="Q37" i="5"/>
  <c r="R37" i="5" s="1"/>
  <c r="P36" i="5"/>
  <c r="P44" i="5" s="1"/>
  <c r="O36" i="5"/>
  <c r="O44" i="5" s="1"/>
  <c r="R35" i="5"/>
  <c r="Q33" i="5"/>
  <c r="R33" i="5" s="1"/>
  <c r="Q31" i="5"/>
  <c r="R31" i="5" s="1"/>
  <c r="Q30" i="5"/>
  <c r="R30" i="5" s="1"/>
  <c r="P29" i="5"/>
  <c r="R28" i="5"/>
  <c r="Q28" i="5"/>
  <c r="R26" i="5"/>
  <c r="Q26" i="5"/>
  <c r="R25" i="5"/>
  <c r="Q25" i="5"/>
  <c r="Q24" i="5"/>
  <c r="R24" i="5" s="1"/>
  <c r="Q23" i="5"/>
  <c r="R23" i="5" s="1"/>
  <c r="R22" i="5"/>
  <c r="Q22" i="5"/>
  <c r="P21" i="5"/>
  <c r="Q21" i="5" s="1"/>
  <c r="R21" i="5" s="1"/>
  <c r="O21" i="5"/>
  <c r="R20" i="5"/>
  <c r="Q18" i="5"/>
  <c r="R18" i="5" s="1"/>
  <c r="Q17" i="5"/>
  <c r="R17" i="5" s="1"/>
  <c r="P16" i="5"/>
  <c r="O16" i="5"/>
  <c r="Q16" i="5" s="1"/>
  <c r="R16" i="5" s="1"/>
  <c r="Q15" i="5"/>
  <c r="R15" i="5" s="1"/>
  <c r="Q14" i="5"/>
  <c r="R14" i="5" s="1"/>
  <c r="Q13" i="5"/>
  <c r="R13" i="5" s="1"/>
  <c r="Q12" i="5"/>
  <c r="R12" i="5" s="1"/>
  <c r="Q11" i="5"/>
  <c r="R11" i="5" s="1"/>
  <c r="Q10" i="5"/>
  <c r="R10" i="5" s="1"/>
  <c r="Q9" i="5"/>
  <c r="R9" i="5" s="1"/>
  <c r="Q8" i="5"/>
  <c r="R8" i="5" s="1"/>
  <c r="Q7" i="5"/>
  <c r="R7" i="5" s="1"/>
  <c r="P6" i="5"/>
  <c r="P5" i="5" s="1"/>
  <c r="O6" i="5"/>
  <c r="O5" i="5" s="1"/>
  <c r="P3" i="5"/>
  <c r="M54" i="5"/>
  <c r="L54" i="5"/>
  <c r="L53" i="5"/>
  <c r="M53" i="5" s="1"/>
  <c r="L52" i="5"/>
  <c r="M52" i="5" s="1"/>
  <c r="M50" i="5"/>
  <c r="L50" i="5"/>
  <c r="M49" i="5"/>
  <c r="L49" i="5"/>
  <c r="L48" i="5"/>
  <c r="M48" i="5" s="1"/>
  <c r="L46" i="5"/>
  <c r="M46" i="5" s="1"/>
  <c r="L45" i="5"/>
  <c r="M45" i="5" s="1"/>
  <c r="M43" i="5"/>
  <c r="L43" i="5"/>
  <c r="L42" i="5"/>
  <c r="M42" i="5" s="1"/>
  <c r="L41" i="5"/>
  <c r="M41" i="5" s="1"/>
  <c r="K40" i="5"/>
  <c r="K44" i="5" s="1"/>
  <c r="J40" i="5"/>
  <c r="L39" i="5"/>
  <c r="M39" i="5" s="1"/>
  <c r="L38" i="5"/>
  <c r="M38" i="5" s="1"/>
  <c r="M37" i="5"/>
  <c r="L37" i="5"/>
  <c r="K36" i="5"/>
  <c r="J36" i="5"/>
  <c r="J44" i="5" s="1"/>
  <c r="M35" i="5"/>
  <c r="L33" i="5"/>
  <c r="M33" i="5" s="1"/>
  <c r="L31" i="5"/>
  <c r="M31" i="5" s="1"/>
  <c r="L30" i="5"/>
  <c r="M30" i="5" s="1"/>
  <c r="K29" i="5"/>
  <c r="K27" i="5" s="1"/>
  <c r="M28" i="5"/>
  <c r="L28" i="5"/>
  <c r="L26" i="5"/>
  <c r="M26" i="5" s="1"/>
  <c r="M25" i="5"/>
  <c r="L25" i="5"/>
  <c r="L24" i="5"/>
  <c r="M24" i="5" s="1"/>
  <c r="L23" i="5"/>
  <c r="M23" i="5" s="1"/>
  <c r="L22" i="5"/>
  <c r="M22" i="5" s="1"/>
  <c r="K21" i="5"/>
  <c r="J21" i="5"/>
  <c r="L21" i="5" s="1"/>
  <c r="M21" i="5" s="1"/>
  <c r="M20" i="5"/>
  <c r="L18" i="5"/>
  <c r="M18" i="5" s="1"/>
  <c r="L17" i="5"/>
  <c r="M17" i="5" s="1"/>
  <c r="K16" i="5"/>
  <c r="K19" i="5" s="1"/>
  <c r="J16" i="5"/>
  <c r="M15" i="5"/>
  <c r="L15" i="5"/>
  <c r="L14" i="5"/>
  <c r="M14" i="5" s="1"/>
  <c r="L13" i="5"/>
  <c r="M13" i="5" s="1"/>
  <c r="L12" i="5"/>
  <c r="M12" i="5" s="1"/>
  <c r="M11" i="5"/>
  <c r="L11" i="5"/>
  <c r="M10" i="5"/>
  <c r="L10" i="5"/>
  <c r="L9" i="5"/>
  <c r="M9" i="5" s="1"/>
  <c r="L8" i="5"/>
  <c r="M8" i="5" s="1"/>
  <c r="L7" i="5"/>
  <c r="M7" i="5" s="1"/>
  <c r="K6" i="5"/>
  <c r="J6" i="5"/>
  <c r="J5" i="5" s="1"/>
  <c r="L5" i="5" s="1"/>
  <c r="M5" i="5" s="1"/>
  <c r="K5" i="5"/>
  <c r="K3" i="5"/>
  <c r="V79" i="11"/>
  <c r="W79" i="11" s="1"/>
  <c r="V78" i="11"/>
  <c r="W78" i="11" s="1"/>
  <c r="V77" i="11"/>
  <c r="W77" i="11" s="1"/>
  <c r="V76" i="11"/>
  <c r="W76" i="11" s="1"/>
  <c r="V75" i="11"/>
  <c r="W75" i="11" s="1"/>
  <c r="V74" i="11"/>
  <c r="W74" i="11" s="1"/>
  <c r="V73" i="11"/>
  <c r="W73" i="11" s="1"/>
  <c r="V72" i="11"/>
  <c r="W72" i="11" s="1"/>
  <c r="V71" i="11"/>
  <c r="W71" i="11" s="1"/>
  <c r="U70" i="11"/>
  <c r="U84" i="11" s="1"/>
  <c r="T70" i="11"/>
  <c r="T84" i="11" s="1"/>
  <c r="V62" i="11"/>
  <c r="W62" i="11" s="1"/>
  <c r="V61" i="11"/>
  <c r="W61" i="11" s="1"/>
  <c r="V56" i="11"/>
  <c r="W56" i="11" s="1"/>
  <c r="U55" i="11"/>
  <c r="U49" i="11" s="1"/>
  <c r="V54" i="11"/>
  <c r="W54" i="11" s="1"/>
  <c r="V53" i="11"/>
  <c r="W53" i="11" s="1"/>
  <c r="V50" i="11"/>
  <c r="W50" i="11" s="1"/>
  <c r="Q79" i="11"/>
  <c r="R79" i="11" s="1"/>
  <c r="Q78" i="11"/>
  <c r="R78" i="11" s="1"/>
  <c r="Q77" i="11"/>
  <c r="R77" i="11" s="1"/>
  <c r="Q76" i="11"/>
  <c r="R76" i="11" s="1"/>
  <c r="Q75" i="11"/>
  <c r="R75" i="11" s="1"/>
  <c r="Q74" i="11"/>
  <c r="R74" i="11" s="1"/>
  <c r="Q73" i="11"/>
  <c r="R73" i="11" s="1"/>
  <c r="Q72" i="11"/>
  <c r="R72" i="11" s="1"/>
  <c r="Q71" i="11"/>
  <c r="R71" i="11" s="1"/>
  <c r="P70" i="11"/>
  <c r="P84" i="11" s="1"/>
  <c r="O70" i="11"/>
  <c r="O84" i="11" s="1"/>
  <c r="Q62" i="11"/>
  <c r="R62" i="11" s="1"/>
  <c r="Q61" i="11"/>
  <c r="R61" i="11" s="1"/>
  <c r="P60" i="11"/>
  <c r="O60" i="11"/>
  <c r="O83" i="11" s="1"/>
  <c r="Q56" i="11"/>
  <c r="R56" i="11" s="1"/>
  <c r="P55" i="11"/>
  <c r="P49" i="11" s="1"/>
  <c r="Q54" i="11"/>
  <c r="R54" i="11" s="1"/>
  <c r="Q53" i="11"/>
  <c r="R53" i="11" s="1"/>
  <c r="Q50" i="11"/>
  <c r="R50" i="11" s="1"/>
  <c r="L79" i="11"/>
  <c r="M79" i="11" s="1"/>
  <c r="L78" i="11"/>
  <c r="M78" i="11" s="1"/>
  <c r="L77" i="11"/>
  <c r="M77" i="11" s="1"/>
  <c r="L76" i="11"/>
  <c r="M76" i="11" s="1"/>
  <c r="L75" i="11"/>
  <c r="M75" i="11" s="1"/>
  <c r="L74" i="11"/>
  <c r="M74" i="11" s="1"/>
  <c r="L73" i="11"/>
  <c r="M73" i="11" s="1"/>
  <c r="L72" i="11"/>
  <c r="M72" i="11" s="1"/>
  <c r="L71" i="11"/>
  <c r="M71" i="11" s="1"/>
  <c r="K70" i="11"/>
  <c r="K84" i="11" s="1"/>
  <c r="J70" i="11"/>
  <c r="J84" i="11" s="1"/>
  <c r="L62" i="11"/>
  <c r="M62" i="11" s="1"/>
  <c r="L61" i="11"/>
  <c r="M61" i="11" s="1"/>
  <c r="K60" i="11"/>
  <c r="J60" i="11"/>
  <c r="L56" i="11"/>
  <c r="M56" i="11" s="1"/>
  <c r="K55" i="11"/>
  <c r="K49" i="11" s="1"/>
  <c r="L54" i="11"/>
  <c r="M54" i="11" s="1"/>
  <c r="L53" i="11"/>
  <c r="M53" i="11" s="1"/>
  <c r="L50" i="11"/>
  <c r="M50" i="11" s="1"/>
  <c r="V19" i="12"/>
  <c r="W19" i="12" s="1"/>
  <c r="V18" i="12"/>
  <c r="W18" i="12" s="1"/>
  <c r="V16" i="12"/>
  <c r="W16" i="12" s="1"/>
  <c r="V14" i="12"/>
  <c r="W14" i="12" s="1"/>
  <c r="V13" i="12"/>
  <c r="W13" i="12" s="1"/>
  <c r="V12" i="12"/>
  <c r="W12" i="12" s="1"/>
  <c r="V11" i="12"/>
  <c r="W11" i="12" s="1"/>
  <c r="V10" i="12"/>
  <c r="W10" i="12" s="1"/>
  <c r="V9" i="12"/>
  <c r="W9" i="12" s="1"/>
  <c r="V8" i="12"/>
  <c r="W8" i="12" s="1"/>
  <c r="V7" i="12"/>
  <c r="W7" i="12" s="1"/>
  <c r="V6" i="12"/>
  <c r="W6" i="12" s="1"/>
  <c r="U5" i="12"/>
  <c r="Q19" i="12"/>
  <c r="R19" i="12" s="1"/>
  <c r="Q18" i="12"/>
  <c r="R18" i="12" s="1"/>
  <c r="Q16" i="12"/>
  <c r="R16" i="12" s="1"/>
  <c r="Q14" i="12"/>
  <c r="R14" i="12" s="1"/>
  <c r="Q13" i="12"/>
  <c r="R13" i="12" s="1"/>
  <c r="Q12" i="12"/>
  <c r="R12" i="12" s="1"/>
  <c r="Q11" i="12"/>
  <c r="R11" i="12" s="1"/>
  <c r="Q10" i="12"/>
  <c r="R10" i="12" s="1"/>
  <c r="Q7" i="12"/>
  <c r="R7" i="12" s="1"/>
  <c r="Q6" i="12"/>
  <c r="R6" i="12" s="1"/>
  <c r="P5" i="12"/>
  <c r="P15" i="12" s="1"/>
  <c r="P17" i="12" s="1"/>
  <c r="P20" i="12" s="1"/>
  <c r="L19" i="12"/>
  <c r="M19" i="12" s="1"/>
  <c r="L18" i="12"/>
  <c r="M18" i="12" s="1"/>
  <c r="L16" i="12"/>
  <c r="M16" i="12" s="1"/>
  <c r="L14" i="12"/>
  <c r="M14" i="12" s="1"/>
  <c r="L13" i="12"/>
  <c r="M13" i="12" s="1"/>
  <c r="L12" i="12"/>
  <c r="M12" i="12" s="1"/>
  <c r="L11" i="12"/>
  <c r="M11" i="12" s="1"/>
  <c r="L10" i="12"/>
  <c r="M10" i="12" s="1"/>
  <c r="L7" i="12"/>
  <c r="M7" i="12" s="1"/>
  <c r="L6" i="12"/>
  <c r="M6" i="12" s="1"/>
  <c r="K5" i="12"/>
  <c r="K15" i="12" s="1"/>
  <c r="K17" i="12" s="1"/>
  <c r="K20" i="12" s="1"/>
  <c r="V171" i="2"/>
  <c r="W171" i="2" s="1"/>
  <c r="V170" i="2"/>
  <c r="W170" i="2" s="1"/>
  <c r="V169" i="2"/>
  <c r="W169" i="2" s="1"/>
  <c r="V168" i="2"/>
  <c r="W168" i="2" s="1"/>
  <c r="V167" i="2"/>
  <c r="W167" i="2" s="1"/>
  <c r="V166" i="2"/>
  <c r="W166" i="2" s="1"/>
  <c r="V165" i="2"/>
  <c r="W165" i="2" s="1"/>
  <c r="U164" i="2"/>
  <c r="T164" i="2"/>
  <c r="V162" i="2"/>
  <c r="W162" i="2" s="1"/>
  <c r="V161" i="2"/>
  <c r="W161" i="2" s="1"/>
  <c r="V160" i="2"/>
  <c r="W160" i="2" s="1"/>
  <c r="V159" i="2"/>
  <c r="W159" i="2" s="1"/>
  <c r="V158" i="2"/>
  <c r="W158" i="2" s="1"/>
  <c r="V157" i="2"/>
  <c r="W157" i="2" s="1"/>
  <c r="V156" i="2"/>
  <c r="W156" i="2" s="1"/>
  <c r="V155" i="2"/>
  <c r="W155" i="2" s="1"/>
  <c r="U154" i="2"/>
  <c r="T154" i="2"/>
  <c r="V152" i="2"/>
  <c r="W152" i="2" s="1"/>
  <c r="V151" i="2"/>
  <c r="W151" i="2" s="1"/>
  <c r="V150" i="2"/>
  <c r="W150" i="2" s="1"/>
  <c r="V149" i="2"/>
  <c r="W149" i="2" s="1"/>
  <c r="U148" i="2"/>
  <c r="U146" i="2" s="1"/>
  <c r="T148" i="2"/>
  <c r="V147" i="2"/>
  <c r="W147" i="2" s="1"/>
  <c r="V138" i="2"/>
  <c r="W138" i="2" s="1"/>
  <c r="V137" i="2"/>
  <c r="W137" i="2" s="1"/>
  <c r="V136" i="2"/>
  <c r="W136" i="2" s="1"/>
  <c r="V135" i="2"/>
  <c r="W135" i="2" s="1"/>
  <c r="V134" i="2"/>
  <c r="W134" i="2" s="1"/>
  <c r="V133" i="2"/>
  <c r="W133" i="2" s="1"/>
  <c r="V132" i="2"/>
  <c r="W132" i="2" s="1"/>
  <c r="V131" i="2"/>
  <c r="W131" i="2" s="1"/>
  <c r="U130" i="2"/>
  <c r="U129" i="2" s="1"/>
  <c r="T130" i="2"/>
  <c r="T129" i="2" s="1"/>
  <c r="V128" i="2"/>
  <c r="W128" i="2" s="1"/>
  <c r="V127" i="2"/>
  <c r="W127" i="2" s="1"/>
  <c r="V126" i="2"/>
  <c r="W126" i="2" s="1"/>
  <c r="V125" i="2"/>
  <c r="W125" i="2" s="1"/>
  <c r="V124" i="2"/>
  <c r="W124" i="2" s="1"/>
  <c r="V123" i="2"/>
  <c r="W123" i="2" s="1"/>
  <c r="V122" i="2"/>
  <c r="W122" i="2" s="1"/>
  <c r="V121" i="2"/>
  <c r="W121" i="2" s="1"/>
  <c r="V120" i="2"/>
  <c r="W120" i="2" s="1"/>
  <c r="U119" i="2"/>
  <c r="T119" i="2"/>
  <c r="V118" i="2"/>
  <c r="W118" i="2" s="1"/>
  <c r="V117" i="2"/>
  <c r="W117" i="2" s="1"/>
  <c r="V116" i="2"/>
  <c r="W116" i="2" s="1"/>
  <c r="V115" i="2"/>
  <c r="W115" i="2" s="1"/>
  <c r="U114" i="2"/>
  <c r="T114" i="2"/>
  <c r="V113" i="2"/>
  <c r="W113" i="2" s="1"/>
  <c r="V112" i="2"/>
  <c r="W112" i="2" s="1"/>
  <c r="V111" i="2"/>
  <c r="W111" i="2" s="1"/>
  <c r="V110" i="2"/>
  <c r="W110" i="2" s="1"/>
  <c r="U109" i="2"/>
  <c r="T109" i="2"/>
  <c r="V108" i="2"/>
  <c r="W108" i="2" s="1"/>
  <c r="V107" i="2"/>
  <c r="W107" i="2" s="1"/>
  <c r="V106" i="2"/>
  <c r="W106" i="2" s="1"/>
  <c r="V105" i="2"/>
  <c r="W105" i="2" s="1"/>
  <c r="U104" i="2"/>
  <c r="T104" i="2"/>
  <c r="V102" i="2"/>
  <c r="W102" i="2" s="1"/>
  <c r="V101" i="2"/>
  <c r="W101" i="2" s="1"/>
  <c r="V100" i="2"/>
  <c r="W100" i="2" s="1"/>
  <c r="V99" i="2"/>
  <c r="W99" i="2" s="1"/>
  <c r="V98" i="2"/>
  <c r="W98" i="2" s="1"/>
  <c r="U96" i="2"/>
  <c r="V95" i="2"/>
  <c r="W95" i="2" s="1"/>
  <c r="V94" i="2"/>
  <c r="W94" i="2" s="1"/>
  <c r="V93" i="2"/>
  <c r="W93" i="2" s="1"/>
  <c r="V92" i="2"/>
  <c r="W92" i="2" s="1"/>
  <c r="V91" i="2"/>
  <c r="W91" i="2" s="1"/>
  <c r="U90" i="2"/>
  <c r="T90" i="2"/>
  <c r="V89" i="2"/>
  <c r="W89" i="2" s="1"/>
  <c r="V88" i="2"/>
  <c r="W88" i="2" s="1"/>
  <c r="V87" i="2"/>
  <c r="W87" i="2" s="1"/>
  <c r="V86" i="2"/>
  <c r="W86" i="2" s="1"/>
  <c r="V85" i="2"/>
  <c r="W85" i="2" s="1"/>
  <c r="V84" i="2"/>
  <c r="W84" i="2" s="1"/>
  <c r="V83" i="2"/>
  <c r="W83" i="2" s="1"/>
  <c r="U82" i="2"/>
  <c r="T82" i="2"/>
  <c r="V81" i="2"/>
  <c r="W81" i="2" s="1"/>
  <c r="V80" i="2"/>
  <c r="W80" i="2" s="1"/>
  <c r="V79" i="2"/>
  <c r="W79" i="2" s="1"/>
  <c r="V78" i="2"/>
  <c r="W78" i="2" s="1"/>
  <c r="V77" i="2"/>
  <c r="W77" i="2" s="1"/>
  <c r="V76" i="2"/>
  <c r="W76" i="2" s="1"/>
  <c r="V75" i="2"/>
  <c r="W75" i="2" s="1"/>
  <c r="U74" i="2"/>
  <c r="T74" i="2"/>
  <c r="V73" i="2"/>
  <c r="W73" i="2" s="1"/>
  <c r="V72" i="2"/>
  <c r="W72" i="2" s="1"/>
  <c r="V71" i="2"/>
  <c r="W71" i="2" s="1"/>
  <c r="V70" i="2"/>
  <c r="W70" i="2" s="1"/>
  <c r="V69" i="2"/>
  <c r="W69" i="2" s="1"/>
  <c r="U68" i="2"/>
  <c r="T68" i="2"/>
  <c r="V67" i="2"/>
  <c r="W67" i="2" s="1"/>
  <c r="V57" i="2"/>
  <c r="W57" i="2" s="1"/>
  <c r="V56" i="2"/>
  <c r="W56" i="2" s="1"/>
  <c r="V55" i="2"/>
  <c r="W55" i="2" s="1"/>
  <c r="V54" i="2"/>
  <c r="W54" i="2" s="1"/>
  <c r="V53" i="2"/>
  <c r="W53" i="2" s="1"/>
  <c r="U52" i="2"/>
  <c r="U50" i="2" s="1"/>
  <c r="T52" i="2"/>
  <c r="T50" i="2" s="1"/>
  <c r="V51" i="2"/>
  <c r="W51" i="2" s="1"/>
  <c r="V49" i="2"/>
  <c r="W49" i="2" s="1"/>
  <c r="V48" i="2"/>
  <c r="W48" i="2" s="1"/>
  <c r="V47" i="2"/>
  <c r="W47" i="2" s="1"/>
  <c r="V46" i="2"/>
  <c r="W46" i="2" s="1"/>
  <c r="V45" i="2"/>
  <c r="W45" i="2" s="1"/>
  <c r="V44" i="2"/>
  <c r="W44" i="2" s="1"/>
  <c r="V43" i="2"/>
  <c r="W43" i="2" s="1"/>
  <c r="V42" i="2"/>
  <c r="W42" i="2" s="1"/>
  <c r="V41" i="2"/>
  <c r="W41" i="2" s="1"/>
  <c r="V40" i="2"/>
  <c r="W40" i="2" s="1"/>
  <c r="U39" i="2"/>
  <c r="T39" i="2"/>
  <c r="V38" i="2"/>
  <c r="W38" i="2" s="1"/>
  <c r="V36" i="2"/>
  <c r="W36" i="2" s="1"/>
  <c r="U35" i="2"/>
  <c r="T35" i="2"/>
  <c r="V31" i="2"/>
  <c r="W31" i="2" s="1"/>
  <c r="V30" i="2"/>
  <c r="W30" i="2" s="1"/>
  <c r="V29" i="2"/>
  <c r="W29" i="2" s="1"/>
  <c r="V28" i="2"/>
  <c r="W28" i="2" s="1"/>
  <c r="V27" i="2"/>
  <c r="W27" i="2" s="1"/>
  <c r="V26" i="2"/>
  <c r="W26" i="2" s="1"/>
  <c r="V24" i="2"/>
  <c r="W24" i="2" s="1"/>
  <c r="V23" i="2"/>
  <c r="W23" i="2" s="1"/>
  <c r="U22" i="2"/>
  <c r="T22" i="2"/>
  <c r="V21" i="2"/>
  <c r="W21" i="2" s="1"/>
  <c r="V20" i="2"/>
  <c r="W20" i="2" s="1"/>
  <c r="U19" i="2"/>
  <c r="T19" i="2"/>
  <c r="V18" i="2"/>
  <c r="W18" i="2" s="1"/>
  <c r="V17" i="2"/>
  <c r="W17" i="2" s="1"/>
  <c r="U16" i="2"/>
  <c r="T16" i="2"/>
  <c r="V15" i="2"/>
  <c r="W15" i="2" s="1"/>
  <c r="V14" i="2"/>
  <c r="W14" i="2" s="1"/>
  <c r="U13" i="2"/>
  <c r="T13" i="2"/>
  <c r="V12" i="2"/>
  <c r="W12" i="2" s="1"/>
  <c r="V11" i="2"/>
  <c r="W11" i="2" s="1"/>
  <c r="U10" i="2"/>
  <c r="T10" i="2"/>
  <c r="V9" i="2"/>
  <c r="W9" i="2" s="1"/>
  <c r="V8" i="2"/>
  <c r="W8" i="2" s="1"/>
  <c r="V7" i="2"/>
  <c r="W7" i="2" s="1"/>
  <c r="V6" i="2"/>
  <c r="W6" i="2" s="1"/>
  <c r="U5" i="2"/>
  <c r="T5" i="2"/>
  <c r="Q171" i="2"/>
  <c r="R171" i="2" s="1"/>
  <c r="Q170" i="2"/>
  <c r="R170" i="2" s="1"/>
  <c r="Q169" i="2"/>
  <c r="R169" i="2" s="1"/>
  <c r="Q168" i="2"/>
  <c r="R168" i="2" s="1"/>
  <c r="Q167" i="2"/>
  <c r="R167" i="2" s="1"/>
  <c r="Q166" i="2"/>
  <c r="R166" i="2" s="1"/>
  <c r="Q165" i="2"/>
  <c r="R165" i="2" s="1"/>
  <c r="P164" i="2"/>
  <c r="O164" i="2"/>
  <c r="Q162" i="2"/>
  <c r="R162" i="2" s="1"/>
  <c r="Q161" i="2"/>
  <c r="R161" i="2" s="1"/>
  <c r="Q160" i="2"/>
  <c r="R160" i="2" s="1"/>
  <c r="Q159" i="2"/>
  <c r="R159" i="2" s="1"/>
  <c r="Q158" i="2"/>
  <c r="R158" i="2" s="1"/>
  <c r="Q157" i="2"/>
  <c r="R157" i="2" s="1"/>
  <c r="Q156" i="2"/>
  <c r="R156" i="2" s="1"/>
  <c r="Q155" i="2"/>
  <c r="R155" i="2" s="1"/>
  <c r="P154" i="2"/>
  <c r="O154" i="2"/>
  <c r="Q152" i="2"/>
  <c r="R152" i="2" s="1"/>
  <c r="Q151" i="2"/>
  <c r="R151" i="2" s="1"/>
  <c r="Q150" i="2"/>
  <c r="R150" i="2" s="1"/>
  <c r="Q149" i="2"/>
  <c r="R149" i="2" s="1"/>
  <c r="P148" i="2"/>
  <c r="O148" i="2"/>
  <c r="O146" i="2" s="1"/>
  <c r="Q147" i="2"/>
  <c r="R147" i="2" s="1"/>
  <c r="Q138" i="2"/>
  <c r="R138" i="2" s="1"/>
  <c r="Q137" i="2"/>
  <c r="R137" i="2" s="1"/>
  <c r="Q136" i="2"/>
  <c r="R136" i="2" s="1"/>
  <c r="Q135" i="2"/>
  <c r="R135" i="2" s="1"/>
  <c r="Q134" i="2"/>
  <c r="R134" i="2" s="1"/>
  <c r="Q133" i="2"/>
  <c r="R133" i="2" s="1"/>
  <c r="Q132" i="2"/>
  <c r="R132" i="2" s="1"/>
  <c r="Q131" i="2"/>
  <c r="R131" i="2" s="1"/>
  <c r="P130" i="2"/>
  <c r="P129" i="2" s="1"/>
  <c r="O130" i="2"/>
  <c r="O129" i="2" s="1"/>
  <c r="Q128" i="2"/>
  <c r="R128" i="2" s="1"/>
  <c r="Q127" i="2"/>
  <c r="R127" i="2" s="1"/>
  <c r="Q126" i="2"/>
  <c r="R126" i="2" s="1"/>
  <c r="Q125" i="2"/>
  <c r="R125" i="2" s="1"/>
  <c r="Q124" i="2"/>
  <c r="R124" i="2" s="1"/>
  <c r="Q123" i="2"/>
  <c r="R123" i="2" s="1"/>
  <c r="Q122" i="2"/>
  <c r="R122" i="2" s="1"/>
  <c r="Q121" i="2"/>
  <c r="R121" i="2" s="1"/>
  <c r="Q120" i="2"/>
  <c r="R120" i="2" s="1"/>
  <c r="P119" i="2"/>
  <c r="O119" i="2"/>
  <c r="Q118" i="2"/>
  <c r="R118" i="2" s="1"/>
  <c r="Q117" i="2"/>
  <c r="R117" i="2" s="1"/>
  <c r="Q116" i="2"/>
  <c r="R116" i="2" s="1"/>
  <c r="Q115" i="2"/>
  <c r="R115" i="2" s="1"/>
  <c r="P114" i="2"/>
  <c r="O114" i="2"/>
  <c r="Q113" i="2"/>
  <c r="R113" i="2" s="1"/>
  <c r="Q112" i="2"/>
  <c r="R112" i="2" s="1"/>
  <c r="Q111" i="2"/>
  <c r="R111" i="2" s="1"/>
  <c r="Q110" i="2"/>
  <c r="R110" i="2" s="1"/>
  <c r="P109" i="2"/>
  <c r="O109" i="2"/>
  <c r="Q108" i="2"/>
  <c r="R108" i="2" s="1"/>
  <c r="Q107" i="2"/>
  <c r="R107" i="2" s="1"/>
  <c r="Q106" i="2"/>
  <c r="R106" i="2" s="1"/>
  <c r="Q105" i="2"/>
  <c r="R105" i="2" s="1"/>
  <c r="P104" i="2"/>
  <c r="O104" i="2"/>
  <c r="Q102" i="2"/>
  <c r="R102" i="2" s="1"/>
  <c r="Q101" i="2"/>
  <c r="R101" i="2" s="1"/>
  <c r="Q100" i="2"/>
  <c r="R100" i="2" s="1"/>
  <c r="Q99" i="2"/>
  <c r="R99" i="2" s="1"/>
  <c r="Q98" i="2"/>
  <c r="R98" i="2" s="1"/>
  <c r="Q95" i="2"/>
  <c r="R95" i="2" s="1"/>
  <c r="Q94" i="2"/>
  <c r="R94" i="2" s="1"/>
  <c r="Q93" i="2"/>
  <c r="R93" i="2" s="1"/>
  <c r="Q92" i="2"/>
  <c r="R92" i="2" s="1"/>
  <c r="Q91" i="2"/>
  <c r="R91" i="2" s="1"/>
  <c r="P90" i="2"/>
  <c r="Q89" i="2"/>
  <c r="R89" i="2" s="1"/>
  <c r="Q88" i="2"/>
  <c r="R88" i="2" s="1"/>
  <c r="Q87" i="2"/>
  <c r="R87" i="2" s="1"/>
  <c r="Q86" i="2"/>
  <c r="R86" i="2" s="1"/>
  <c r="Q85" i="2"/>
  <c r="R85" i="2" s="1"/>
  <c r="Q84" i="2"/>
  <c r="R84" i="2" s="1"/>
  <c r="Q83" i="2"/>
  <c r="R83" i="2" s="1"/>
  <c r="P82" i="2"/>
  <c r="O82" i="2"/>
  <c r="Q81" i="2"/>
  <c r="R81" i="2" s="1"/>
  <c r="Q80" i="2"/>
  <c r="R80" i="2" s="1"/>
  <c r="Q79" i="2"/>
  <c r="R79" i="2" s="1"/>
  <c r="Q78" i="2"/>
  <c r="R78" i="2" s="1"/>
  <c r="Q77" i="2"/>
  <c r="R77" i="2" s="1"/>
  <c r="Q76" i="2"/>
  <c r="R76" i="2" s="1"/>
  <c r="Q75" i="2"/>
  <c r="R75" i="2" s="1"/>
  <c r="P74" i="2"/>
  <c r="O74" i="2"/>
  <c r="Q73" i="2"/>
  <c r="R73" i="2" s="1"/>
  <c r="Q72" i="2"/>
  <c r="R72" i="2" s="1"/>
  <c r="Q71" i="2"/>
  <c r="R71" i="2" s="1"/>
  <c r="Q70" i="2"/>
  <c r="R70" i="2" s="1"/>
  <c r="Q69" i="2"/>
  <c r="R69" i="2" s="1"/>
  <c r="P68" i="2"/>
  <c r="O68" i="2"/>
  <c r="Q67" i="2"/>
  <c r="R67" i="2" s="1"/>
  <c r="Q57" i="2"/>
  <c r="R57" i="2" s="1"/>
  <c r="Q56" i="2"/>
  <c r="R56" i="2" s="1"/>
  <c r="Q55" i="2"/>
  <c r="R55" i="2" s="1"/>
  <c r="Q54" i="2"/>
  <c r="R54" i="2" s="1"/>
  <c r="Q53" i="2"/>
  <c r="R53" i="2" s="1"/>
  <c r="P52" i="2"/>
  <c r="P50" i="2" s="1"/>
  <c r="O52" i="2"/>
  <c r="O50" i="2" s="1"/>
  <c r="Q51" i="2"/>
  <c r="R51" i="2" s="1"/>
  <c r="Q49" i="2"/>
  <c r="R49" i="2" s="1"/>
  <c r="Q48" i="2"/>
  <c r="R48" i="2" s="1"/>
  <c r="Q47" i="2"/>
  <c r="R47" i="2" s="1"/>
  <c r="Q46" i="2"/>
  <c r="R46" i="2" s="1"/>
  <c r="Q45" i="2"/>
  <c r="R45" i="2" s="1"/>
  <c r="Q44" i="2"/>
  <c r="R44" i="2" s="1"/>
  <c r="Q43" i="2"/>
  <c r="R43" i="2" s="1"/>
  <c r="Q42" i="2"/>
  <c r="R42" i="2" s="1"/>
  <c r="Q41" i="2"/>
  <c r="R41" i="2" s="1"/>
  <c r="Q40" i="2"/>
  <c r="R40" i="2" s="1"/>
  <c r="P39" i="2"/>
  <c r="O39" i="2"/>
  <c r="Q38" i="2"/>
  <c r="R38" i="2" s="1"/>
  <c r="Q36" i="2"/>
  <c r="R36" i="2" s="1"/>
  <c r="P35" i="2"/>
  <c r="O35" i="2"/>
  <c r="Q31" i="2"/>
  <c r="R31" i="2" s="1"/>
  <c r="Q30" i="2"/>
  <c r="R30" i="2" s="1"/>
  <c r="Q29" i="2"/>
  <c r="R29" i="2" s="1"/>
  <c r="Q28" i="2"/>
  <c r="R28" i="2" s="1"/>
  <c r="Q27" i="2"/>
  <c r="R27" i="2" s="1"/>
  <c r="Q26" i="2"/>
  <c r="Q24" i="2"/>
  <c r="R24" i="2" s="1"/>
  <c r="Q23" i="2"/>
  <c r="R23" i="2" s="1"/>
  <c r="P22" i="2"/>
  <c r="O22" i="2"/>
  <c r="Q21" i="2"/>
  <c r="R21" i="2" s="1"/>
  <c r="Q20" i="2"/>
  <c r="R20" i="2" s="1"/>
  <c r="P19" i="2"/>
  <c r="O19" i="2"/>
  <c r="Q18" i="2"/>
  <c r="R18" i="2" s="1"/>
  <c r="Q17" i="2"/>
  <c r="R17" i="2" s="1"/>
  <c r="P16" i="2"/>
  <c r="O16" i="2"/>
  <c r="Q15" i="2"/>
  <c r="R15" i="2" s="1"/>
  <c r="Q14" i="2"/>
  <c r="R14" i="2" s="1"/>
  <c r="P13" i="2"/>
  <c r="O13" i="2"/>
  <c r="Q12" i="2"/>
  <c r="R12" i="2" s="1"/>
  <c r="Q11" i="2"/>
  <c r="R11" i="2" s="1"/>
  <c r="P10" i="2"/>
  <c r="O10" i="2"/>
  <c r="Q9" i="2"/>
  <c r="R9" i="2" s="1"/>
  <c r="Q8" i="2"/>
  <c r="R8" i="2" s="1"/>
  <c r="Q7" i="2"/>
  <c r="R7" i="2" s="1"/>
  <c r="Q6" i="2"/>
  <c r="R6" i="2" s="1"/>
  <c r="P5" i="2"/>
  <c r="O5" i="2"/>
  <c r="L171" i="2"/>
  <c r="M171" i="2" s="1"/>
  <c r="L170" i="2"/>
  <c r="M170" i="2" s="1"/>
  <c r="L169" i="2"/>
  <c r="M169" i="2" s="1"/>
  <c r="L168" i="2"/>
  <c r="M168" i="2" s="1"/>
  <c r="L167" i="2"/>
  <c r="M167" i="2" s="1"/>
  <c r="L166" i="2"/>
  <c r="M166" i="2" s="1"/>
  <c r="L165" i="2"/>
  <c r="M165" i="2" s="1"/>
  <c r="K164" i="2"/>
  <c r="J164" i="2"/>
  <c r="L162" i="2"/>
  <c r="M162" i="2" s="1"/>
  <c r="L161" i="2"/>
  <c r="M161" i="2" s="1"/>
  <c r="L160" i="2"/>
  <c r="M160" i="2" s="1"/>
  <c r="L159" i="2"/>
  <c r="M159" i="2" s="1"/>
  <c r="L158" i="2"/>
  <c r="M158" i="2" s="1"/>
  <c r="L157" i="2"/>
  <c r="M157" i="2" s="1"/>
  <c r="L156" i="2"/>
  <c r="M156" i="2" s="1"/>
  <c r="L155" i="2"/>
  <c r="M155" i="2" s="1"/>
  <c r="K154" i="2"/>
  <c r="J154" i="2"/>
  <c r="L152" i="2"/>
  <c r="M152" i="2" s="1"/>
  <c r="L151" i="2"/>
  <c r="M151" i="2" s="1"/>
  <c r="L150" i="2"/>
  <c r="M150" i="2" s="1"/>
  <c r="L149" i="2"/>
  <c r="M149" i="2" s="1"/>
  <c r="K148" i="2"/>
  <c r="K146" i="2" s="1"/>
  <c r="J148" i="2"/>
  <c r="J146" i="2" s="1"/>
  <c r="L147" i="2"/>
  <c r="M147" i="2" s="1"/>
  <c r="L138" i="2"/>
  <c r="M138" i="2" s="1"/>
  <c r="L137" i="2"/>
  <c r="M137" i="2" s="1"/>
  <c r="L136" i="2"/>
  <c r="M136" i="2" s="1"/>
  <c r="L135" i="2"/>
  <c r="M135" i="2" s="1"/>
  <c r="L134" i="2"/>
  <c r="M134" i="2" s="1"/>
  <c r="L133" i="2"/>
  <c r="M133" i="2" s="1"/>
  <c r="L132" i="2"/>
  <c r="M132" i="2" s="1"/>
  <c r="L131" i="2"/>
  <c r="M131" i="2" s="1"/>
  <c r="K130" i="2"/>
  <c r="K129" i="2" s="1"/>
  <c r="J130" i="2"/>
  <c r="J129" i="2" s="1"/>
  <c r="L128" i="2"/>
  <c r="M128" i="2" s="1"/>
  <c r="L127" i="2"/>
  <c r="M127" i="2" s="1"/>
  <c r="L126" i="2"/>
  <c r="M126" i="2" s="1"/>
  <c r="L125" i="2"/>
  <c r="M125" i="2" s="1"/>
  <c r="L124" i="2"/>
  <c r="M124" i="2" s="1"/>
  <c r="L123" i="2"/>
  <c r="M123" i="2" s="1"/>
  <c r="L122" i="2"/>
  <c r="M122" i="2" s="1"/>
  <c r="L121" i="2"/>
  <c r="M121" i="2" s="1"/>
  <c r="L120" i="2"/>
  <c r="M120" i="2" s="1"/>
  <c r="K119" i="2"/>
  <c r="J119" i="2"/>
  <c r="L118" i="2"/>
  <c r="M118" i="2" s="1"/>
  <c r="L117" i="2"/>
  <c r="M117" i="2" s="1"/>
  <c r="L116" i="2"/>
  <c r="M116" i="2" s="1"/>
  <c r="L115" i="2"/>
  <c r="M115" i="2" s="1"/>
  <c r="K114" i="2"/>
  <c r="J114" i="2"/>
  <c r="L113" i="2"/>
  <c r="M113" i="2" s="1"/>
  <c r="L112" i="2"/>
  <c r="M112" i="2" s="1"/>
  <c r="L111" i="2"/>
  <c r="M111" i="2" s="1"/>
  <c r="L110" i="2"/>
  <c r="M110" i="2" s="1"/>
  <c r="K109" i="2"/>
  <c r="J109" i="2"/>
  <c r="L108" i="2"/>
  <c r="M108" i="2" s="1"/>
  <c r="L107" i="2"/>
  <c r="M107" i="2" s="1"/>
  <c r="L106" i="2"/>
  <c r="M106" i="2" s="1"/>
  <c r="L105" i="2"/>
  <c r="M105" i="2" s="1"/>
  <c r="K104" i="2"/>
  <c r="J104" i="2"/>
  <c r="L102" i="2"/>
  <c r="M102" i="2" s="1"/>
  <c r="L101" i="2"/>
  <c r="M101" i="2" s="1"/>
  <c r="L100" i="2"/>
  <c r="M100" i="2" s="1"/>
  <c r="L99" i="2"/>
  <c r="M99" i="2" s="1"/>
  <c r="L98" i="2"/>
  <c r="M98" i="2" s="1"/>
  <c r="L95" i="2"/>
  <c r="M95" i="2" s="1"/>
  <c r="L94" i="2"/>
  <c r="M94" i="2" s="1"/>
  <c r="L93" i="2"/>
  <c r="M93" i="2" s="1"/>
  <c r="L92" i="2"/>
  <c r="M92" i="2" s="1"/>
  <c r="L91" i="2"/>
  <c r="M91" i="2" s="1"/>
  <c r="K90" i="2"/>
  <c r="L89" i="2"/>
  <c r="M89" i="2" s="1"/>
  <c r="L88" i="2"/>
  <c r="M88" i="2" s="1"/>
  <c r="L87" i="2"/>
  <c r="M87" i="2" s="1"/>
  <c r="L86" i="2"/>
  <c r="M86" i="2" s="1"/>
  <c r="L85" i="2"/>
  <c r="M85" i="2" s="1"/>
  <c r="L84" i="2"/>
  <c r="M84" i="2" s="1"/>
  <c r="L83" i="2"/>
  <c r="M83" i="2" s="1"/>
  <c r="K82" i="2"/>
  <c r="J82" i="2"/>
  <c r="L81" i="2"/>
  <c r="M81" i="2" s="1"/>
  <c r="L80" i="2"/>
  <c r="M80" i="2" s="1"/>
  <c r="L79" i="2"/>
  <c r="M79" i="2" s="1"/>
  <c r="L78" i="2"/>
  <c r="M78" i="2" s="1"/>
  <c r="L77" i="2"/>
  <c r="M77" i="2" s="1"/>
  <c r="L76" i="2"/>
  <c r="M76" i="2" s="1"/>
  <c r="L75" i="2"/>
  <c r="M75" i="2" s="1"/>
  <c r="K74" i="2"/>
  <c r="J74" i="2"/>
  <c r="L73" i="2"/>
  <c r="M73" i="2" s="1"/>
  <c r="L72" i="2"/>
  <c r="M72" i="2" s="1"/>
  <c r="L71" i="2"/>
  <c r="M71" i="2" s="1"/>
  <c r="L70" i="2"/>
  <c r="M70" i="2" s="1"/>
  <c r="L69" i="2"/>
  <c r="M69" i="2" s="1"/>
  <c r="K68" i="2"/>
  <c r="J68" i="2"/>
  <c r="L67" i="2"/>
  <c r="M67" i="2" s="1"/>
  <c r="L57" i="2"/>
  <c r="M57" i="2" s="1"/>
  <c r="L56" i="2"/>
  <c r="M56" i="2" s="1"/>
  <c r="L55" i="2"/>
  <c r="M55" i="2" s="1"/>
  <c r="L54" i="2"/>
  <c r="M54" i="2" s="1"/>
  <c r="L53" i="2"/>
  <c r="M53" i="2" s="1"/>
  <c r="K52" i="2"/>
  <c r="K50" i="2" s="1"/>
  <c r="J52" i="2"/>
  <c r="J50" i="2" s="1"/>
  <c r="L51" i="2"/>
  <c r="M51" i="2" s="1"/>
  <c r="L49" i="2"/>
  <c r="M49" i="2" s="1"/>
  <c r="L48" i="2"/>
  <c r="M48" i="2" s="1"/>
  <c r="L47" i="2"/>
  <c r="M47" i="2" s="1"/>
  <c r="L46" i="2"/>
  <c r="M46" i="2" s="1"/>
  <c r="L45" i="2"/>
  <c r="M45" i="2" s="1"/>
  <c r="L44" i="2"/>
  <c r="M44" i="2" s="1"/>
  <c r="L43" i="2"/>
  <c r="M43" i="2" s="1"/>
  <c r="L42" i="2"/>
  <c r="M42" i="2" s="1"/>
  <c r="L41" i="2"/>
  <c r="M41" i="2" s="1"/>
  <c r="L40" i="2"/>
  <c r="M40" i="2" s="1"/>
  <c r="K39" i="2"/>
  <c r="J39" i="2"/>
  <c r="L38" i="2"/>
  <c r="M38" i="2" s="1"/>
  <c r="L36" i="2"/>
  <c r="M36" i="2" s="1"/>
  <c r="K35" i="2"/>
  <c r="J35" i="2"/>
  <c r="L31" i="2"/>
  <c r="M31" i="2" s="1"/>
  <c r="L30" i="2"/>
  <c r="M30" i="2" s="1"/>
  <c r="L29" i="2"/>
  <c r="M29" i="2" s="1"/>
  <c r="L28" i="2"/>
  <c r="M28" i="2" s="1"/>
  <c r="L27" i="2"/>
  <c r="M27" i="2" s="1"/>
  <c r="L26" i="2"/>
  <c r="L24" i="2"/>
  <c r="M24" i="2" s="1"/>
  <c r="L23" i="2"/>
  <c r="M23" i="2" s="1"/>
  <c r="K22" i="2"/>
  <c r="J22" i="2"/>
  <c r="L21" i="2"/>
  <c r="M21" i="2" s="1"/>
  <c r="L20" i="2"/>
  <c r="M20" i="2" s="1"/>
  <c r="K19" i="2"/>
  <c r="J19" i="2"/>
  <c r="L18" i="2"/>
  <c r="M18" i="2" s="1"/>
  <c r="L17" i="2"/>
  <c r="M17" i="2" s="1"/>
  <c r="K16" i="2"/>
  <c r="J16" i="2"/>
  <c r="L15" i="2"/>
  <c r="M15" i="2" s="1"/>
  <c r="L14" i="2"/>
  <c r="M14" i="2" s="1"/>
  <c r="K13" i="2"/>
  <c r="J13" i="2"/>
  <c r="L12" i="2"/>
  <c r="M12" i="2" s="1"/>
  <c r="L11" i="2"/>
  <c r="M11" i="2" s="1"/>
  <c r="K10" i="2"/>
  <c r="J10" i="2"/>
  <c r="L9" i="2"/>
  <c r="M9" i="2" s="1"/>
  <c r="L8" i="2"/>
  <c r="M8" i="2" s="1"/>
  <c r="L7" i="2"/>
  <c r="M7" i="2" s="1"/>
  <c r="M6" i="2"/>
  <c r="K5" i="2"/>
  <c r="J5" i="2"/>
  <c r="J3" i="12" l="1"/>
  <c r="R26" i="2"/>
  <c r="R8" i="12" s="1"/>
  <c r="Q8" i="12"/>
  <c r="M26" i="2"/>
  <c r="M8" i="12" s="1"/>
  <c r="L8" i="12"/>
  <c r="V44" i="5"/>
  <c r="W44" i="5" s="1"/>
  <c r="Q44" i="5"/>
  <c r="R44" i="5" s="1"/>
  <c r="L36" i="5"/>
  <c r="M36" i="5" s="1"/>
  <c r="L44" i="5"/>
  <c r="M44" i="5" s="1"/>
  <c r="O3" i="12"/>
  <c r="T3" i="12"/>
  <c r="V3" i="12" s="1"/>
  <c r="W3" i="12" s="1"/>
  <c r="R72" i="10"/>
  <c r="T19" i="5"/>
  <c r="O19" i="5"/>
  <c r="O29" i="5"/>
  <c r="O27" i="5" s="1"/>
  <c r="O34" i="5" s="1"/>
  <c r="L6" i="5"/>
  <c r="M6" i="5" s="1"/>
  <c r="J19" i="5"/>
  <c r="L19" i="5" s="1"/>
  <c r="M19" i="5" s="1"/>
  <c r="J29" i="5"/>
  <c r="J27" i="5" s="1"/>
  <c r="L27" i="5" s="1"/>
  <c r="M27" i="5" s="1"/>
  <c r="R58" i="11"/>
  <c r="U59" i="11"/>
  <c r="L60" i="11"/>
  <c r="M60" i="11" s="1"/>
  <c r="V52" i="11"/>
  <c r="W52" i="11" s="1"/>
  <c r="M58" i="11"/>
  <c r="W58" i="11"/>
  <c r="Q70" i="11"/>
  <c r="R70" i="11" s="1"/>
  <c r="T59" i="11"/>
  <c r="P59" i="11"/>
  <c r="P83" i="11"/>
  <c r="Q83" i="11" s="1"/>
  <c r="R83" i="11" s="1"/>
  <c r="Q52" i="11"/>
  <c r="R52" i="11" s="1"/>
  <c r="Q60" i="11"/>
  <c r="R60" i="11" s="1"/>
  <c r="V60" i="11"/>
  <c r="W60" i="11" s="1"/>
  <c r="V70" i="11"/>
  <c r="W70" i="11" s="1"/>
  <c r="V84" i="11"/>
  <c r="W84" i="11" s="1"/>
  <c r="T83" i="11"/>
  <c r="T82" i="11" s="1"/>
  <c r="O59" i="11"/>
  <c r="U83" i="11"/>
  <c r="U82" i="11" s="1"/>
  <c r="K59" i="11"/>
  <c r="L52" i="11"/>
  <c r="M52" i="11" s="1"/>
  <c r="J59" i="11"/>
  <c r="V32" i="10"/>
  <c r="W32" i="10" s="1"/>
  <c r="T12" i="10"/>
  <c r="V12" i="10" s="1"/>
  <c r="W12" i="10" s="1"/>
  <c r="V66" i="10"/>
  <c r="W66" i="10" s="1"/>
  <c r="Q32" i="10"/>
  <c r="R32" i="10" s="1"/>
  <c r="V54" i="10"/>
  <c r="W54" i="10" s="1"/>
  <c r="L66" i="10"/>
  <c r="M66" i="10" s="1"/>
  <c r="K72" i="10"/>
  <c r="W72" i="10"/>
  <c r="V8" i="10"/>
  <c r="W8" i="10" s="1"/>
  <c r="T60" i="10"/>
  <c r="W60" i="10" s="1"/>
  <c r="Q54" i="10"/>
  <c r="R54" i="10" s="1"/>
  <c r="U12" i="10"/>
  <c r="L32" i="10"/>
  <c r="M32" i="10" s="1"/>
  <c r="L54" i="10"/>
  <c r="M54" i="10" s="1"/>
  <c r="J60" i="10"/>
  <c r="M60" i="10" s="1"/>
  <c r="Q66" i="10"/>
  <c r="R66" i="10" s="1"/>
  <c r="T4" i="2"/>
  <c r="T3" i="2" s="1"/>
  <c r="Q148" i="2"/>
  <c r="R148" i="2" s="1"/>
  <c r="Q164" i="2"/>
  <c r="R164" i="2" s="1"/>
  <c r="K59" i="2"/>
  <c r="U103" i="2"/>
  <c r="L5" i="2"/>
  <c r="U59" i="2"/>
  <c r="O34" i="2"/>
  <c r="O33" i="2" s="1"/>
  <c r="V63" i="2"/>
  <c r="W63" i="2" s="1"/>
  <c r="Q104" i="2"/>
  <c r="R104" i="2" s="1"/>
  <c r="V13" i="2"/>
  <c r="W13" i="2" s="1"/>
  <c r="V19" i="2"/>
  <c r="W19" i="2" s="1"/>
  <c r="V154" i="2"/>
  <c r="W154" i="2" s="1"/>
  <c r="P146" i="2"/>
  <c r="Q146" i="2" s="1"/>
  <c r="R146" i="2" s="1"/>
  <c r="V50" i="2"/>
  <c r="W50" i="2" s="1"/>
  <c r="V109" i="2"/>
  <c r="W109" i="2" s="1"/>
  <c r="Q10" i="2"/>
  <c r="R10" i="2" s="1"/>
  <c r="Q129" i="2"/>
  <c r="R129" i="2" s="1"/>
  <c r="L119" i="2"/>
  <c r="M119" i="2" s="1"/>
  <c r="T34" i="2"/>
  <c r="T33" i="2" s="1"/>
  <c r="V33" i="2" s="1"/>
  <c r="Q74" i="2"/>
  <c r="R74" i="2" s="1"/>
  <c r="L10" i="2"/>
  <c r="M10" i="2" s="1"/>
  <c r="Q39" i="2"/>
  <c r="R39" i="2" s="1"/>
  <c r="U140" i="2"/>
  <c r="Q3" i="9"/>
  <c r="R3" i="9" s="1"/>
  <c r="Q16" i="9"/>
  <c r="R16" i="9" s="1"/>
  <c r="Q17" i="9"/>
  <c r="R17" i="9" s="1"/>
  <c r="L16" i="9"/>
  <c r="M16" i="9" s="1"/>
  <c r="V5" i="10"/>
  <c r="W5" i="10" s="1"/>
  <c r="O12" i="10"/>
  <c r="T14" i="10"/>
  <c r="O14" i="10"/>
  <c r="L11" i="10"/>
  <c r="M11" i="10" s="1"/>
  <c r="U14" i="10"/>
  <c r="V14" i="10" s="1"/>
  <c r="W14" i="10" s="1"/>
  <c r="J5" i="10"/>
  <c r="J14" i="10" s="1"/>
  <c r="L8" i="10"/>
  <c r="M8" i="10" s="1"/>
  <c r="Q11" i="10"/>
  <c r="R11" i="10" s="1"/>
  <c r="K5" i="10"/>
  <c r="K14" i="10" s="1"/>
  <c r="Q8" i="10"/>
  <c r="R8" i="10" s="1"/>
  <c r="V11" i="10"/>
  <c r="W11" i="10" s="1"/>
  <c r="P5" i="10"/>
  <c r="Q5" i="10" s="1"/>
  <c r="R5" i="10" s="1"/>
  <c r="L19" i="2"/>
  <c r="M19" i="2" s="1"/>
  <c r="L148" i="2"/>
  <c r="M148" i="2" s="1"/>
  <c r="L164" i="2"/>
  <c r="M164" i="2" s="1"/>
  <c r="V68" i="2"/>
  <c r="W68" i="2" s="1"/>
  <c r="V82" i="2"/>
  <c r="W82" i="2" s="1"/>
  <c r="T66" i="2"/>
  <c r="V96" i="2"/>
  <c r="W96" i="2" s="1"/>
  <c r="L39" i="2"/>
  <c r="M39" i="2" s="1"/>
  <c r="L142" i="2"/>
  <c r="M142" i="2" s="1"/>
  <c r="Q119" i="2"/>
  <c r="R119" i="2" s="1"/>
  <c r="Q141" i="2"/>
  <c r="R141" i="2" s="1"/>
  <c r="P4" i="2"/>
  <c r="P3" i="2" s="1"/>
  <c r="L22" i="2"/>
  <c r="M22" i="2" s="1"/>
  <c r="L16" i="2"/>
  <c r="M16" i="2" s="1"/>
  <c r="P59" i="2"/>
  <c r="Q114" i="2"/>
  <c r="R114" i="2" s="1"/>
  <c r="U4" i="2"/>
  <c r="U3" i="2" s="1"/>
  <c r="U163" i="2" s="1"/>
  <c r="K4" i="2"/>
  <c r="K3" i="2" s="1"/>
  <c r="K163" i="2" s="1"/>
  <c r="J4" i="2"/>
  <c r="J3" i="2" s="1"/>
  <c r="J163" i="2" s="1"/>
  <c r="Q109" i="2"/>
  <c r="R109" i="2" s="1"/>
  <c r="V148" i="2"/>
  <c r="W148" i="2" s="1"/>
  <c r="J34" i="2"/>
  <c r="J33" i="2" s="1"/>
  <c r="J103" i="2"/>
  <c r="L109" i="2"/>
  <c r="M109" i="2" s="1"/>
  <c r="Q13" i="2"/>
  <c r="R13" i="2" s="1"/>
  <c r="Q50" i="2"/>
  <c r="R50" i="2" s="1"/>
  <c r="Q142" i="2"/>
  <c r="R142" i="2" s="1"/>
  <c r="V114" i="2"/>
  <c r="W114" i="2" s="1"/>
  <c r="V142" i="2"/>
  <c r="W142" i="2" s="1"/>
  <c r="J140" i="2"/>
  <c r="Q19" i="2"/>
  <c r="R19" i="2" s="1"/>
  <c r="O66" i="2"/>
  <c r="U34" i="2"/>
  <c r="U33" i="2" s="1"/>
  <c r="T59" i="2"/>
  <c r="M141" i="2"/>
  <c r="L50" i="2"/>
  <c r="M50" i="2" s="1"/>
  <c r="L74" i="2"/>
  <c r="M74" i="2" s="1"/>
  <c r="L146" i="2"/>
  <c r="M146" i="2" s="1"/>
  <c r="O4" i="2"/>
  <c r="O3" i="2" s="1"/>
  <c r="Q82" i="2"/>
  <c r="R82" i="2" s="1"/>
  <c r="V74" i="2"/>
  <c r="W74" i="2" s="1"/>
  <c r="T103" i="2"/>
  <c r="T140" i="2"/>
  <c r="L129" i="2"/>
  <c r="M129" i="2" s="1"/>
  <c r="L154" i="2"/>
  <c r="M154" i="2" s="1"/>
  <c r="Q16" i="2"/>
  <c r="R16" i="2" s="1"/>
  <c r="Q90" i="2"/>
  <c r="R90" i="2" s="1"/>
  <c r="Q143" i="2"/>
  <c r="R143" i="2" s="1"/>
  <c r="Q154" i="2"/>
  <c r="R154" i="2" s="1"/>
  <c r="V39" i="2"/>
  <c r="W39" i="2" s="1"/>
  <c r="U66" i="2"/>
  <c r="V143" i="2"/>
  <c r="W143" i="2" s="1"/>
  <c r="V164" i="2"/>
  <c r="W164" i="2" s="1"/>
  <c r="L130" i="2"/>
  <c r="M130" i="2" s="1"/>
  <c r="Q22" i="2"/>
  <c r="R22" i="2" s="1"/>
  <c r="V10" i="2"/>
  <c r="W10" i="2" s="1"/>
  <c r="V16" i="2"/>
  <c r="W16" i="2" s="1"/>
  <c r="V22" i="2"/>
  <c r="W22" i="2" s="1"/>
  <c r="V119" i="2"/>
  <c r="W119" i="2" s="1"/>
  <c r="L13" i="2"/>
  <c r="M13" i="2" s="1"/>
  <c r="L104" i="2"/>
  <c r="M104" i="2" s="1"/>
  <c r="L90" i="2"/>
  <c r="M90" i="2" s="1"/>
  <c r="L114" i="2"/>
  <c r="M114" i="2" s="1"/>
  <c r="K140" i="2"/>
  <c r="J66" i="2"/>
  <c r="L82" i="2"/>
  <c r="M82" i="2" s="1"/>
  <c r="P103" i="2"/>
  <c r="K34" i="2"/>
  <c r="K66" i="2"/>
  <c r="K58" i="2" s="1"/>
  <c r="K103" i="2"/>
  <c r="P34" i="2"/>
  <c r="O103" i="2"/>
  <c r="P140" i="2"/>
  <c r="L52" i="2"/>
  <c r="M52" i="2" s="1"/>
  <c r="Q35" i="2"/>
  <c r="R35" i="2" s="1"/>
  <c r="P66" i="2"/>
  <c r="O140" i="2"/>
  <c r="V35" i="2"/>
  <c r="W35" i="2" s="1"/>
  <c r="V90" i="2"/>
  <c r="W90" i="2" s="1"/>
  <c r="V130" i="2"/>
  <c r="W130" i="2" s="1"/>
  <c r="T25" i="9"/>
  <c r="V8" i="9"/>
  <c r="W8" i="9" s="1"/>
  <c r="U25" i="9"/>
  <c r="V3" i="9"/>
  <c r="W3" i="9" s="1"/>
  <c r="Q8" i="9"/>
  <c r="R8" i="9" s="1"/>
  <c r="P25" i="9"/>
  <c r="V17" i="9"/>
  <c r="W17" i="9" s="1"/>
  <c r="J25" i="9"/>
  <c r="L8" i="9"/>
  <c r="M8" i="9" s="1"/>
  <c r="K25" i="9"/>
  <c r="O25" i="9"/>
  <c r="L3" i="9"/>
  <c r="M3" i="9" s="1"/>
  <c r="L17" i="9"/>
  <c r="M17" i="9" s="1"/>
  <c r="P60" i="10"/>
  <c r="R60" i="10" s="1"/>
  <c r="M72" i="10"/>
  <c r="U19" i="5"/>
  <c r="V19" i="5" s="1"/>
  <c r="W19" i="5" s="1"/>
  <c r="V5" i="5"/>
  <c r="W5" i="5" s="1"/>
  <c r="V6" i="5"/>
  <c r="W6" i="5" s="1"/>
  <c r="V36" i="5"/>
  <c r="W36" i="5" s="1"/>
  <c r="U34" i="5"/>
  <c r="P19" i="5"/>
  <c r="Q19" i="5" s="1"/>
  <c r="R19" i="5" s="1"/>
  <c r="Q5" i="5"/>
  <c r="R5" i="5" s="1"/>
  <c r="Q6" i="5"/>
  <c r="R6" i="5" s="1"/>
  <c r="P27" i="5"/>
  <c r="Q36" i="5"/>
  <c r="R36" i="5" s="1"/>
  <c r="P34" i="5"/>
  <c r="K34" i="5"/>
  <c r="L16" i="5"/>
  <c r="M16" i="5" s="1"/>
  <c r="L40" i="5"/>
  <c r="M40" i="5" s="1"/>
  <c r="Q84" i="11"/>
  <c r="R84" i="11" s="1"/>
  <c r="O82" i="11"/>
  <c r="L84" i="11"/>
  <c r="M84" i="11" s="1"/>
  <c r="L70" i="11"/>
  <c r="M70" i="11" s="1"/>
  <c r="J83" i="11"/>
  <c r="J82" i="11" s="1"/>
  <c r="K83" i="11"/>
  <c r="V129" i="2"/>
  <c r="W129" i="2" s="1"/>
  <c r="T146" i="2"/>
  <c r="V146" i="2" s="1"/>
  <c r="W146" i="2" s="1"/>
  <c r="V5" i="2"/>
  <c r="W5" i="2" s="1"/>
  <c r="V60" i="2"/>
  <c r="W60" i="2" s="1"/>
  <c r="V104" i="2"/>
  <c r="W104" i="2" s="1"/>
  <c r="V141" i="2"/>
  <c r="W141" i="2" s="1"/>
  <c r="V52" i="2"/>
  <c r="W52" i="2" s="1"/>
  <c r="Q68" i="2"/>
  <c r="R68" i="2" s="1"/>
  <c r="Q130" i="2"/>
  <c r="R130" i="2" s="1"/>
  <c r="Q5" i="2"/>
  <c r="Q52" i="2"/>
  <c r="R52" i="2" s="1"/>
  <c r="L68" i="2"/>
  <c r="M68" i="2" s="1"/>
  <c r="L35" i="2"/>
  <c r="M35" i="2" s="1"/>
  <c r="M143" i="2"/>
  <c r="C29" i="5"/>
  <c r="C27" i="5" s="1"/>
  <c r="D6" i="5"/>
  <c r="E6" i="5"/>
  <c r="F6" i="5"/>
  <c r="C6" i="5"/>
  <c r="C16" i="5"/>
  <c r="C83" i="11"/>
  <c r="F60" i="11"/>
  <c r="F70" i="11"/>
  <c r="C70" i="11"/>
  <c r="G75" i="11"/>
  <c r="H75" i="11" s="1"/>
  <c r="G54" i="11"/>
  <c r="H54" i="11" s="1"/>
  <c r="G53" i="11"/>
  <c r="H53" i="11" s="1"/>
  <c r="R5" i="2" l="1"/>
  <c r="R3" i="12" s="1"/>
  <c r="Q3" i="12"/>
  <c r="M5" i="2"/>
  <c r="M3" i="12" s="1"/>
  <c r="L3" i="12"/>
  <c r="L29" i="5"/>
  <c r="M29" i="5" s="1"/>
  <c r="J34" i="5"/>
  <c r="L34" i="5" s="1"/>
  <c r="M34" i="5" s="1"/>
  <c r="Q27" i="5"/>
  <c r="R27" i="5" s="1"/>
  <c r="Q29" i="5"/>
  <c r="R29" i="5" s="1"/>
  <c r="Q34" i="5"/>
  <c r="R34" i="5" s="1"/>
  <c r="J58" i="2"/>
  <c r="L58" i="2" s="1"/>
  <c r="M58" i="2" s="1"/>
  <c r="T58" i="2"/>
  <c r="V58" i="2" s="1"/>
  <c r="O58" i="2"/>
  <c r="O32" i="2" s="1"/>
  <c r="P58" i="2"/>
  <c r="U58" i="2"/>
  <c r="C84" i="11"/>
  <c r="C59" i="11"/>
  <c r="C80" i="11" s="1"/>
  <c r="K80" i="11"/>
  <c r="L59" i="11"/>
  <c r="M59" i="11" s="1"/>
  <c r="V82" i="11"/>
  <c r="W82" i="11" s="1"/>
  <c r="P80" i="11"/>
  <c r="P82" i="11"/>
  <c r="Q82" i="11" s="1"/>
  <c r="R82" i="11" s="1"/>
  <c r="U80" i="11"/>
  <c r="V59" i="11"/>
  <c r="W59" i="11" s="1"/>
  <c r="V83" i="11"/>
  <c r="W83" i="11" s="1"/>
  <c r="Q59" i="11"/>
  <c r="R59" i="11" s="1"/>
  <c r="L34" i="2"/>
  <c r="M34" i="2" s="1"/>
  <c r="V103" i="2"/>
  <c r="W103" i="2" s="1"/>
  <c r="L59" i="2"/>
  <c r="M59" i="2" s="1"/>
  <c r="L4" i="2"/>
  <c r="M4" i="2" s="1"/>
  <c r="Q59" i="2"/>
  <c r="R59" i="2" s="1"/>
  <c r="P163" i="2"/>
  <c r="V4" i="2"/>
  <c r="W4" i="2" s="1"/>
  <c r="Q34" i="2"/>
  <c r="R34" i="2" s="1"/>
  <c r="V3" i="2"/>
  <c r="W3" i="2" s="1"/>
  <c r="V140" i="2"/>
  <c r="W140" i="2" s="1"/>
  <c r="L3" i="2"/>
  <c r="M3" i="2" s="1"/>
  <c r="K33" i="2"/>
  <c r="L33" i="2" s="1"/>
  <c r="M33" i="2" s="1"/>
  <c r="V59" i="2"/>
  <c r="W59" i="2" s="1"/>
  <c r="V34" i="2"/>
  <c r="W34" i="2" s="1"/>
  <c r="V66" i="2"/>
  <c r="W66" i="2" s="1"/>
  <c r="Q66" i="2"/>
  <c r="R66" i="2" s="1"/>
  <c r="L66" i="2"/>
  <c r="M66" i="2" s="1"/>
  <c r="Q140" i="2"/>
  <c r="R140" i="2" s="1"/>
  <c r="L140" i="2"/>
  <c r="M140" i="2" s="1"/>
  <c r="P12" i="10"/>
  <c r="Q12" i="10" s="1"/>
  <c r="R12" i="10" s="1"/>
  <c r="P14" i="10"/>
  <c r="Q14" i="10" s="1"/>
  <c r="R14" i="10" s="1"/>
  <c r="L5" i="10"/>
  <c r="M5" i="10" s="1"/>
  <c r="K12" i="10"/>
  <c r="J12" i="10"/>
  <c r="L14" i="10"/>
  <c r="M14" i="10" s="1"/>
  <c r="Q3" i="2"/>
  <c r="R3" i="2" s="1"/>
  <c r="L103" i="2"/>
  <c r="M103" i="2" s="1"/>
  <c r="Q4" i="2"/>
  <c r="R4" i="2" s="1"/>
  <c r="Q103" i="2"/>
  <c r="R103" i="2" s="1"/>
  <c r="V25" i="9"/>
  <c r="W25" i="9" s="1"/>
  <c r="Q25" i="9"/>
  <c r="R25" i="9" s="1"/>
  <c r="L25" i="9"/>
  <c r="M25" i="9" s="1"/>
  <c r="U47" i="5"/>
  <c r="P47" i="5"/>
  <c r="K47" i="5"/>
  <c r="K82" i="11"/>
  <c r="L82" i="11" s="1"/>
  <c r="M82" i="11" s="1"/>
  <c r="L83" i="11"/>
  <c r="M83" i="11" s="1"/>
  <c r="U32" i="2"/>
  <c r="W33" i="2"/>
  <c r="T163" i="2"/>
  <c r="V163" i="2" s="1"/>
  <c r="W163" i="2" s="1"/>
  <c r="Q33" i="2"/>
  <c r="R33" i="2" s="1"/>
  <c r="O163" i="2"/>
  <c r="Q163" i="2" s="1"/>
  <c r="R163" i="2" s="1"/>
  <c r="L163" i="2"/>
  <c r="M163" i="2" s="1"/>
  <c r="G52" i="11"/>
  <c r="H52" i="11" s="1"/>
  <c r="J32" i="2" l="1"/>
  <c r="J144" i="2" s="1"/>
  <c r="J172" i="2" s="1"/>
  <c r="J4" i="12" s="1"/>
  <c r="J5" i="12" s="1"/>
  <c r="J15" i="12" s="1"/>
  <c r="Q58" i="2"/>
  <c r="R58" i="2" s="1"/>
  <c r="O144" i="2"/>
  <c r="O172" i="2" s="1"/>
  <c r="O4" i="12" s="1"/>
  <c r="O5" i="12" s="1"/>
  <c r="T32" i="2"/>
  <c r="T144" i="2" s="1"/>
  <c r="T172" i="2" s="1"/>
  <c r="T4" i="12" s="1"/>
  <c r="W58" i="2"/>
  <c r="L12" i="10"/>
  <c r="M12" i="10" s="1"/>
  <c r="K32" i="2"/>
  <c r="P32" i="2"/>
  <c r="U144" i="2"/>
  <c r="C16" i="2"/>
  <c r="L32" i="2" l="1"/>
  <c r="M32" i="2" s="1"/>
  <c r="J145" i="2"/>
  <c r="J153" i="2" s="1"/>
  <c r="J173" i="2" s="1"/>
  <c r="L5" i="12"/>
  <c r="M5" i="12" s="1"/>
  <c r="V4" i="12"/>
  <c r="W4" i="12" s="1"/>
  <c r="T5" i="12"/>
  <c r="O15" i="12"/>
  <c r="Q5" i="12"/>
  <c r="R5" i="12" s="1"/>
  <c r="L15" i="12"/>
  <c r="J17" i="12"/>
  <c r="J20" i="12" s="1"/>
  <c r="O145" i="2"/>
  <c r="O153" i="2" s="1"/>
  <c r="O173" i="2" s="1"/>
  <c r="Q32" i="2"/>
  <c r="R32" i="2" s="1"/>
  <c r="P144" i="2"/>
  <c r="P145" i="2" s="1"/>
  <c r="T145" i="2"/>
  <c r="T153" i="2" s="1"/>
  <c r="T173" i="2" s="1"/>
  <c r="V32" i="2"/>
  <c r="W32" i="2" s="1"/>
  <c r="K144" i="2"/>
  <c r="K172" i="2" s="1"/>
  <c r="L172" i="2" s="1"/>
  <c r="V144" i="2"/>
  <c r="W144" i="2" s="1"/>
  <c r="U172" i="2"/>
  <c r="V172" i="2" s="1"/>
  <c r="W172" i="2" s="1"/>
  <c r="U145" i="2"/>
  <c r="C114" i="2"/>
  <c r="G6" i="2"/>
  <c r="H6" i="2" s="1"/>
  <c r="F5" i="2"/>
  <c r="F10" i="2"/>
  <c r="F13" i="2"/>
  <c r="F16" i="2"/>
  <c r="F19" i="2"/>
  <c r="F22" i="2"/>
  <c r="F35" i="2"/>
  <c r="F39" i="2"/>
  <c r="F52" i="2"/>
  <c r="F50" i="2" s="1"/>
  <c r="F68" i="2"/>
  <c r="F74" i="2"/>
  <c r="F82" i="2"/>
  <c r="F90" i="2"/>
  <c r="F104" i="2"/>
  <c r="F109" i="2"/>
  <c r="F114" i="2"/>
  <c r="F119" i="2"/>
  <c r="F130" i="2"/>
  <c r="F148" i="2"/>
  <c r="F154" i="2"/>
  <c r="F164" i="2"/>
  <c r="E5" i="2"/>
  <c r="E10" i="2"/>
  <c r="E13" i="2"/>
  <c r="E16" i="2"/>
  <c r="E19" i="2"/>
  <c r="E22" i="2"/>
  <c r="E35" i="2"/>
  <c r="E39" i="2"/>
  <c r="E52" i="2"/>
  <c r="E50" i="2" s="1"/>
  <c r="E68" i="2"/>
  <c r="E74" i="2"/>
  <c r="E82" i="2"/>
  <c r="E90" i="2"/>
  <c r="E104" i="2"/>
  <c r="E109" i="2"/>
  <c r="G116" i="2"/>
  <c r="H116" i="2" s="1"/>
  <c r="E119" i="2"/>
  <c r="E130" i="2"/>
  <c r="E129" i="2" s="1"/>
  <c r="E148" i="2"/>
  <c r="E146" i="2" s="1"/>
  <c r="E154" i="2"/>
  <c r="E164" i="2"/>
  <c r="G171" i="2"/>
  <c r="H171" i="2" s="1"/>
  <c r="G170" i="2"/>
  <c r="H170" i="2" s="1"/>
  <c r="G169" i="2"/>
  <c r="H169" i="2" s="1"/>
  <c r="G168" i="2"/>
  <c r="H168" i="2" s="1"/>
  <c r="G167" i="2"/>
  <c r="H167" i="2" s="1"/>
  <c r="G166" i="2"/>
  <c r="H166" i="2" s="1"/>
  <c r="G165" i="2"/>
  <c r="H165" i="2" s="1"/>
  <c r="G162" i="2"/>
  <c r="G161" i="2"/>
  <c r="H161" i="2" s="1"/>
  <c r="G160" i="2"/>
  <c r="H160" i="2" s="1"/>
  <c r="G159" i="2"/>
  <c r="H159" i="2" s="1"/>
  <c r="G158" i="2"/>
  <c r="H158" i="2" s="1"/>
  <c r="G157" i="2"/>
  <c r="H157" i="2" s="1"/>
  <c r="G156" i="2"/>
  <c r="H156" i="2" s="1"/>
  <c r="G155" i="2"/>
  <c r="H155" i="2" s="1"/>
  <c r="G152" i="2"/>
  <c r="H152" i="2" s="1"/>
  <c r="G151" i="2"/>
  <c r="H151" i="2" s="1"/>
  <c r="G150" i="2"/>
  <c r="H150" i="2" s="1"/>
  <c r="G149" i="2"/>
  <c r="H149" i="2" s="1"/>
  <c r="G147" i="2"/>
  <c r="H147" i="2" s="1"/>
  <c r="G138" i="2"/>
  <c r="H138" i="2" s="1"/>
  <c r="G137" i="2"/>
  <c r="H137" i="2" s="1"/>
  <c r="G136" i="2"/>
  <c r="H136" i="2" s="1"/>
  <c r="G135" i="2"/>
  <c r="H135" i="2" s="1"/>
  <c r="G134" i="2"/>
  <c r="H134" i="2" s="1"/>
  <c r="G133" i="2"/>
  <c r="H133" i="2" s="1"/>
  <c r="G132" i="2"/>
  <c r="H132" i="2" s="1"/>
  <c r="G131" i="2"/>
  <c r="H131" i="2" s="1"/>
  <c r="G128" i="2"/>
  <c r="H128" i="2" s="1"/>
  <c r="G127" i="2"/>
  <c r="H127" i="2" s="1"/>
  <c r="G126" i="2"/>
  <c r="H126" i="2" s="1"/>
  <c r="G125" i="2"/>
  <c r="H125" i="2" s="1"/>
  <c r="G124" i="2"/>
  <c r="H124" i="2" s="1"/>
  <c r="G123" i="2"/>
  <c r="H123" i="2" s="1"/>
  <c r="G122" i="2"/>
  <c r="H122" i="2" s="1"/>
  <c r="G121" i="2"/>
  <c r="H121" i="2" s="1"/>
  <c r="G120" i="2"/>
  <c r="H120" i="2" s="1"/>
  <c r="G118" i="2"/>
  <c r="H118" i="2" s="1"/>
  <c r="G113" i="2"/>
  <c r="H113" i="2" s="1"/>
  <c r="G112" i="2"/>
  <c r="H112" i="2" s="1"/>
  <c r="G111" i="2"/>
  <c r="H111" i="2" s="1"/>
  <c r="G110" i="2"/>
  <c r="H110" i="2" s="1"/>
  <c r="G108" i="2"/>
  <c r="H108" i="2" s="1"/>
  <c r="G107" i="2"/>
  <c r="H107" i="2" s="1"/>
  <c r="G106" i="2"/>
  <c r="H106" i="2" s="1"/>
  <c r="G105" i="2"/>
  <c r="H105" i="2" s="1"/>
  <c r="G102" i="2"/>
  <c r="H102" i="2" s="1"/>
  <c r="G101" i="2"/>
  <c r="H101" i="2" s="1"/>
  <c r="G100" i="2"/>
  <c r="H100" i="2" s="1"/>
  <c r="G99" i="2"/>
  <c r="H99" i="2" s="1"/>
  <c r="G98" i="2"/>
  <c r="H98" i="2" s="1"/>
  <c r="G95" i="2"/>
  <c r="H95" i="2" s="1"/>
  <c r="G94" i="2"/>
  <c r="H94" i="2" s="1"/>
  <c r="G93" i="2"/>
  <c r="H93" i="2" s="1"/>
  <c r="G92" i="2"/>
  <c r="H92" i="2" s="1"/>
  <c r="G91" i="2"/>
  <c r="H91" i="2" s="1"/>
  <c r="G89" i="2"/>
  <c r="H89" i="2" s="1"/>
  <c r="G88" i="2"/>
  <c r="H88" i="2" s="1"/>
  <c r="G87" i="2"/>
  <c r="H87" i="2" s="1"/>
  <c r="G86" i="2"/>
  <c r="H86" i="2" s="1"/>
  <c r="G85" i="2"/>
  <c r="H85" i="2" s="1"/>
  <c r="G84" i="2"/>
  <c r="H84" i="2" s="1"/>
  <c r="G83" i="2"/>
  <c r="H83" i="2" s="1"/>
  <c r="G81" i="2"/>
  <c r="H81" i="2" s="1"/>
  <c r="G80" i="2"/>
  <c r="H80" i="2" s="1"/>
  <c r="G79" i="2"/>
  <c r="H79" i="2" s="1"/>
  <c r="G78" i="2"/>
  <c r="H78" i="2" s="1"/>
  <c r="G77" i="2"/>
  <c r="H77" i="2" s="1"/>
  <c r="G76" i="2"/>
  <c r="H76" i="2" s="1"/>
  <c r="G75" i="2"/>
  <c r="H75" i="2" s="1"/>
  <c r="G73" i="2"/>
  <c r="H73" i="2" s="1"/>
  <c r="G72" i="2"/>
  <c r="H72" i="2" s="1"/>
  <c r="G71" i="2"/>
  <c r="H71" i="2" s="1"/>
  <c r="G70" i="2"/>
  <c r="H70" i="2" s="1"/>
  <c r="G69" i="2"/>
  <c r="H69" i="2" s="1"/>
  <c r="G67" i="2"/>
  <c r="H67" i="2" s="1"/>
  <c r="G57" i="2"/>
  <c r="G56" i="2"/>
  <c r="H56" i="2" s="1"/>
  <c r="G55" i="2"/>
  <c r="H55" i="2" s="1"/>
  <c r="G54" i="2"/>
  <c r="H54" i="2" s="1"/>
  <c r="G53" i="2"/>
  <c r="H53" i="2" s="1"/>
  <c r="G51" i="2"/>
  <c r="H51" i="2" s="1"/>
  <c r="G49" i="2"/>
  <c r="H49" i="2" s="1"/>
  <c r="G48" i="2"/>
  <c r="H48" i="2" s="1"/>
  <c r="G47" i="2"/>
  <c r="H47" i="2" s="1"/>
  <c r="G46" i="2"/>
  <c r="H46" i="2" s="1"/>
  <c r="G45" i="2"/>
  <c r="H45" i="2" s="1"/>
  <c r="G44" i="2"/>
  <c r="H44" i="2" s="1"/>
  <c r="G43" i="2"/>
  <c r="H43" i="2" s="1"/>
  <c r="G42" i="2"/>
  <c r="H42" i="2" s="1"/>
  <c r="G41" i="2"/>
  <c r="H41" i="2" s="1"/>
  <c r="G40" i="2"/>
  <c r="H40" i="2" s="1"/>
  <c r="G38" i="2"/>
  <c r="H38" i="2" s="1"/>
  <c r="G36" i="2"/>
  <c r="H36" i="2" s="1"/>
  <c r="G31" i="2"/>
  <c r="H31" i="2" s="1"/>
  <c r="G30" i="2"/>
  <c r="H30" i="2" s="1"/>
  <c r="G29" i="2"/>
  <c r="H29" i="2" s="1"/>
  <c r="G28" i="2"/>
  <c r="H28" i="2" s="1"/>
  <c r="H27" i="2"/>
  <c r="H26" i="2"/>
  <c r="G24" i="2"/>
  <c r="H24" i="2" s="1"/>
  <c r="G23" i="2"/>
  <c r="H23" i="2" s="1"/>
  <c r="G21" i="2"/>
  <c r="H21" i="2" s="1"/>
  <c r="G20" i="2"/>
  <c r="H20" i="2" s="1"/>
  <c r="G18" i="2"/>
  <c r="H18" i="2" s="1"/>
  <c r="G17" i="2"/>
  <c r="H17" i="2" s="1"/>
  <c r="G15" i="2"/>
  <c r="H15" i="2" s="1"/>
  <c r="G14" i="2"/>
  <c r="H14" i="2" s="1"/>
  <c r="G12" i="2"/>
  <c r="H12" i="2" s="1"/>
  <c r="G11" i="2"/>
  <c r="H11" i="2" s="1"/>
  <c r="G9" i="2"/>
  <c r="H9" i="2" s="1"/>
  <c r="G8" i="2"/>
  <c r="H8" i="2" s="1"/>
  <c r="G7" i="2"/>
  <c r="H7" i="2" s="1"/>
  <c r="F8" i="10"/>
  <c r="F5" i="10" s="1"/>
  <c r="E8" i="10"/>
  <c r="E5" i="10" s="1"/>
  <c r="G15" i="9"/>
  <c r="H15" i="9" s="1"/>
  <c r="G14" i="9"/>
  <c r="H14" i="9" s="1"/>
  <c r="G13" i="9"/>
  <c r="H13" i="9" s="1"/>
  <c r="G12" i="9"/>
  <c r="H12" i="9" s="1"/>
  <c r="G11" i="9"/>
  <c r="H11" i="9" s="1"/>
  <c r="G10" i="9"/>
  <c r="H10" i="9" s="1"/>
  <c r="G9" i="9"/>
  <c r="H9" i="9" s="1"/>
  <c r="F66" i="10"/>
  <c r="F72" i="10" s="1"/>
  <c r="F54" i="10"/>
  <c r="F60" i="10" s="1"/>
  <c r="F32" i="10"/>
  <c r="F11" i="10"/>
  <c r="E54" i="10"/>
  <c r="E60" i="10" s="1"/>
  <c r="G60" i="10" s="1"/>
  <c r="G91" i="10"/>
  <c r="H91" i="10" s="1"/>
  <c r="G89" i="10"/>
  <c r="H89" i="10" s="1"/>
  <c r="G88" i="10"/>
  <c r="H88" i="10" s="1"/>
  <c r="G87" i="10"/>
  <c r="H87" i="10" s="1"/>
  <c r="G86" i="10"/>
  <c r="H86" i="10" s="1"/>
  <c r="G85" i="10"/>
  <c r="H85" i="10" s="1"/>
  <c r="G84" i="10"/>
  <c r="H84" i="10" s="1"/>
  <c r="G82" i="10"/>
  <c r="H82" i="10" s="1"/>
  <c r="G81" i="10"/>
  <c r="H81" i="10" s="1"/>
  <c r="G80" i="10"/>
  <c r="H80" i="10" s="1"/>
  <c r="G79" i="10"/>
  <c r="H79" i="10" s="1"/>
  <c r="G77" i="10"/>
  <c r="H77" i="10" s="1"/>
  <c r="G76" i="10"/>
  <c r="H76" i="10" s="1"/>
  <c r="G75" i="10"/>
  <c r="H75" i="10" s="1"/>
  <c r="G74" i="10"/>
  <c r="H74" i="10" s="1"/>
  <c r="G73" i="10"/>
  <c r="H73" i="10" s="1"/>
  <c r="E66" i="10"/>
  <c r="G71" i="10"/>
  <c r="H71" i="10" s="1"/>
  <c r="G70" i="10"/>
  <c r="H70" i="10" s="1"/>
  <c r="G69" i="10"/>
  <c r="H69" i="10" s="1"/>
  <c r="G68" i="10"/>
  <c r="H68" i="10" s="1"/>
  <c r="G67" i="10"/>
  <c r="H67" i="10" s="1"/>
  <c r="G65" i="10"/>
  <c r="H65" i="10" s="1"/>
  <c r="G64" i="10"/>
  <c r="H64" i="10" s="1"/>
  <c r="G63" i="10"/>
  <c r="H63" i="10" s="1"/>
  <c r="G62" i="10"/>
  <c r="H62" i="10" s="1"/>
  <c r="G61" i="10"/>
  <c r="H61" i="10" s="1"/>
  <c r="G59" i="10"/>
  <c r="H59" i="10" s="1"/>
  <c r="G58" i="10"/>
  <c r="H58" i="10" s="1"/>
  <c r="G57" i="10"/>
  <c r="H57" i="10" s="1"/>
  <c r="G56" i="10"/>
  <c r="H56" i="10" s="1"/>
  <c r="G55" i="10"/>
  <c r="H55" i="10" s="1"/>
  <c r="G52" i="10"/>
  <c r="H52" i="10" s="1"/>
  <c r="G51" i="10"/>
  <c r="H51" i="10" s="1"/>
  <c r="G50" i="10"/>
  <c r="H50" i="10" s="1"/>
  <c r="G49" i="10"/>
  <c r="H49" i="10" s="1"/>
  <c r="G48" i="10"/>
  <c r="H48" i="10" s="1"/>
  <c r="G46" i="10"/>
  <c r="H46" i="10" s="1"/>
  <c r="G45" i="10"/>
  <c r="H45" i="10" s="1"/>
  <c r="G44" i="10"/>
  <c r="H44" i="10" s="1"/>
  <c r="G43" i="10"/>
  <c r="H43" i="10" s="1"/>
  <c r="G42" i="10"/>
  <c r="H42" i="10" s="1"/>
  <c r="G40" i="10"/>
  <c r="H40" i="10" s="1"/>
  <c r="G39" i="10"/>
  <c r="H39" i="10" s="1"/>
  <c r="G38" i="10"/>
  <c r="H38" i="10" s="1"/>
  <c r="G37" i="10"/>
  <c r="H37" i="10" s="1"/>
  <c r="G36" i="10"/>
  <c r="H36" i="10" s="1"/>
  <c r="G35" i="10"/>
  <c r="H35" i="10" s="1"/>
  <c r="G34" i="10"/>
  <c r="H34" i="10" s="1"/>
  <c r="G33" i="10"/>
  <c r="H33" i="10" s="1"/>
  <c r="E32" i="10"/>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3" i="10"/>
  <c r="H13" i="10" s="1"/>
  <c r="E11" i="10"/>
  <c r="G10" i="10"/>
  <c r="H10" i="10" s="1"/>
  <c r="G9" i="10"/>
  <c r="H9" i="10" s="1"/>
  <c r="G7" i="10"/>
  <c r="H7" i="10" s="1"/>
  <c r="G6" i="10"/>
  <c r="H6" i="10"/>
  <c r="F40" i="5"/>
  <c r="F21" i="5"/>
  <c r="G54" i="5"/>
  <c r="H54" i="5" s="1"/>
  <c r="G53" i="5"/>
  <c r="H53" i="5" s="1"/>
  <c r="G52" i="5"/>
  <c r="H52" i="5" s="1"/>
  <c r="G50" i="5"/>
  <c r="H50" i="5" s="1"/>
  <c r="G49" i="5"/>
  <c r="H49" i="5" s="1"/>
  <c r="G48" i="5"/>
  <c r="H48" i="5" s="1"/>
  <c r="G46" i="5"/>
  <c r="H46" i="5" s="1"/>
  <c r="G45" i="5"/>
  <c r="H45" i="5" s="1"/>
  <c r="G43" i="5"/>
  <c r="H43" i="5" s="1"/>
  <c r="G42" i="5"/>
  <c r="H42" i="5" s="1"/>
  <c r="G41" i="5"/>
  <c r="H41" i="5" s="1"/>
  <c r="E40" i="5"/>
  <c r="G38" i="5"/>
  <c r="H38" i="5" s="1"/>
  <c r="G37" i="5"/>
  <c r="H37" i="5" s="1"/>
  <c r="G33" i="5"/>
  <c r="H33" i="5" s="1"/>
  <c r="G28" i="5"/>
  <c r="H28" i="5" s="1"/>
  <c r="G26" i="5"/>
  <c r="H26" i="5" s="1"/>
  <c r="G25" i="5"/>
  <c r="H25" i="5" s="1"/>
  <c r="G24" i="5"/>
  <c r="H24" i="5" s="1"/>
  <c r="G23" i="5"/>
  <c r="H23" i="5" s="1"/>
  <c r="G22" i="5"/>
  <c r="H22" i="5" s="1"/>
  <c r="E21" i="5"/>
  <c r="G9" i="5"/>
  <c r="H9" i="5" s="1"/>
  <c r="G15" i="5"/>
  <c r="H15" i="5" s="1"/>
  <c r="G14" i="5"/>
  <c r="H14" i="5" s="1"/>
  <c r="G13" i="5"/>
  <c r="H13" i="5" s="1"/>
  <c r="F84" i="11"/>
  <c r="F83" i="11"/>
  <c r="E70" i="11"/>
  <c r="E84" i="11" s="1"/>
  <c r="E60" i="11"/>
  <c r="G79" i="11"/>
  <c r="H79" i="11" s="1"/>
  <c r="G78" i="11"/>
  <c r="H78" i="11" s="1"/>
  <c r="G77" i="11"/>
  <c r="H77" i="11" s="1"/>
  <c r="G76" i="11"/>
  <c r="H76" i="11" s="1"/>
  <c r="G74" i="11"/>
  <c r="H74" i="11" s="1"/>
  <c r="G73" i="11"/>
  <c r="H73" i="11" s="1"/>
  <c r="G72" i="11"/>
  <c r="H72" i="11" s="1"/>
  <c r="G71" i="11"/>
  <c r="H71" i="11" s="1"/>
  <c r="G62" i="11"/>
  <c r="H62" i="11" s="1"/>
  <c r="G61" i="11"/>
  <c r="H61" i="11" s="1"/>
  <c r="G58" i="11"/>
  <c r="H58" i="11" s="1"/>
  <c r="G56" i="11"/>
  <c r="H56" i="11" s="1"/>
  <c r="G50" i="11"/>
  <c r="H50" i="11" s="1"/>
  <c r="H35" i="5"/>
  <c r="H20" i="5"/>
  <c r="G10" i="12"/>
  <c r="H10" i="12" s="1"/>
  <c r="G19" i="12"/>
  <c r="H19" i="12" s="1"/>
  <c r="G18" i="12"/>
  <c r="H18" i="12" s="1"/>
  <c r="G16" i="12"/>
  <c r="H16" i="12" s="1"/>
  <c r="G14" i="12"/>
  <c r="H14" i="12" s="1"/>
  <c r="G13" i="12"/>
  <c r="H13" i="12" s="1"/>
  <c r="G12" i="12"/>
  <c r="H12" i="12" s="1"/>
  <c r="G11" i="12"/>
  <c r="H11" i="12" s="1"/>
  <c r="G7" i="12"/>
  <c r="H7" i="12" s="1"/>
  <c r="G6" i="12"/>
  <c r="H6" i="12" s="1"/>
  <c r="D5" i="2"/>
  <c r="D10" i="2"/>
  <c r="D13" i="2"/>
  <c r="D16" i="2"/>
  <c r="D19" i="2"/>
  <c r="C5" i="2"/>
  <c r="C10" i="2"/>
  <c r="C13" i="2"/>
  <c r="C19" i="2"/>
  <c r="D60" i="11"/>
  <c r="D84" i="11"/>
  <c r="C54" i="10"/>
  <c r="C60" i="10" s="1"/>
  <c r="D66" i="10"/>
  <c r="D72" i="10" s="1"/>
  <c r="C72" i="10"/>
  <c r="C164" i="2"/>
  <c r="D164" i="2"/>
  <c r="D8" i="9"/>
  <c r="D32" i="5" s="1"/>
  <c r="T32" i="5" s="1"/>
  <c r="E8" i="9"/>
  <c r="F8" i="9"/>
  <c r="C8" i="9"/>
  <c r="D54" i="10"/>
  <c r="D60" i="10" s="1"/>
  <c r="D32" i="10"/>
  <c r="C32" i="10"/>
  <c r="D11" i="10"/>
  <c r="D8" i="10"/>
  <c r="D5" i="10" s="1"/>
  <c r="C8" i="10"/>
  <c r="C5" i="10" s="1"/>
  <c r="C12" i="10" s="1"/>
  <c r="D40" i="5"/>
  <c r="C40" i="5"/>
  <c r="D21" i="5"/>
  <c r="C21" i="5"/>
  <c r="D35" i="2"/>
  <c r="C39" i="2"/>
  <c r="C34" i="2" s="1"/>
  <c r="D39" i="2"/>
  <c r="C52" i="2"/>
  <c r="C50" i="2" s="1"/>
  <c r="D52" i="2"/>
  <c r="D50" i="2" s="1"/>
  <c r="D68" i="2"/>
  <c r="C74" i="2"/>
  <c r="C66" i="2" s="1"/>
  <c r="D74" i="2"/>
  <c r="C82" i="2"/>
  <c r="D82" i="2"/>
  <c r="C90" i="2"/>
  <c r="C104" i="2"/>
  <c r="D104" i="2"/>
  <c r="C109" i="2"/>
  <c r="D109" i="2"/>
  <c r="D114" i="2"/>
  <c r="C119" i="2"/>
  <c r="D119" i="2"/>
  <c r="C130" i="2"/>
  <c r="C129" i="2" s="1"/>
  <c r="D130" i="2"/>
  <c r="D129" i="2" s="1"/>
  <c r="C140" i="2"/>
  <c r="C148" i="2"/>
  <c r="C146" i="2" s="1"/>
  <c r="D148" i="2"/>
  <c r="D146" i="2" s="1"/>
  <c r="C154" i="2"/>
  <c r="D154" i="2"/>
  <c r="F129" i="2" l="1"/>
  <c r="H162" i="2"/>
  <c r="G8" i="12"/>
  <c r="F3" i="12"/>
  <c r="H57" i="2"/>
  <c r="G9" i="12"/>
  <c r="D3" i="12"/>
  <c r="E3" i="12"/>
  <c r="G54" i="10"/>
  <c r="H54" i="10" s="1"/>
  <c r="T15" i="12"/>
  <c r="V5" i="12"/>
  <c r="W5" i="12" s="1"/>
  <c r="O57" i="11"/>
  <c r="O17" i="12"/>
  <c r="O20" i="12" s="1"/>
  <c r="Q15" i="12"/>
  <c r="M172" i="2"/>
  <c r="M4" i="12" s="1"/>
  <c r="L4" i="12"/>
  <c r="J57" i="11"/>
  <c r="L17" i="12"/>
  <c r="M15" i="12"/>
  <c r="V32" i="5"/>
  <c r="W32" i="5" s="1"/>
  <c r="T29" i="5"/>
  <c r="C103" i="2"/>
  <c r="C58" i="2" s="1"/>
  <c r="G32" i="10"/>
  <c r="H32" i="10" s="1"/>
  <c r="G11" i="10"/>
  <c r="H11" i="10" s="1"/>
  <c r="Q144" i="2"/>
  <c r="R144" i="2" s="1"/>
  <c r="P153" i="2"/>
  <c r="L144" i="2"/>
  <c r="M144" i="2" s="1"/>
  <c r="G22" i="2"/>
  <c r="H22" i="2" s="1"/>
  <c r="P172" i="2"/>
  <c r="Q172" i="2" s="1"/>
  <c r="K145" i="2"/>
  <c r="K153" i="2" s="1"/>
  <c r="V145" i="2"/>
  <c r="W145" i="2" s="1"/>
  <c r="U153" i="2"/>
  <c r="Q145" i="2"/>
  <c r="R145" i="2" s="1"/>
  <c r="E4" i="2"/>
  <c r="E3" i="2" s="1"/>
  <c r="E163" i="2" s="1"/>
  <c r="G5" i="2"/>
  <c r="F4" i="2"/>
  <c r="D4" i="2"/>
  <c r="D3" i="2" s="1"/>
  <c r="D163" i="2" s="1"/>
  <c r="C4" i="2"/>
  <c r="C3" i="2" s="1"/>
  <c r="C163" i="2" s="1"/>
  <c r="G35" i="2"/>
  <c r="H35" i="2" s="1"/>
  <c r="G11" i="5"/>
  <c r="H11" i="5" s="1"/>
  <c r="G8" i="5"/>
  <c r="H8" i="5" s="1"/>
  <c r="G10" i="5"/>
  <c r="H10" i="5" s="1"/>
  <c r="G18" i="5"/>
  <c r="H18" i="5" s="1"/>
  <c r="C5" i="5"/>
  <c r="D5" i="5"/>
  <c r="G12" i="5"/>
  <c r="H12" i="5" s="1"/>
  <c r="D16" i="5"/>
  <c r="F5" i="5"/>
  <c r="G21" i="5"/>
  <c r="H21" i="5" s="1"/>
  <c r="F16" i="5"/>
  <c r="D59" i="11"/>
  <c r="G60" i="11"/>
  <c r="H60" i="11" s="1"/>
  <c r="D83" i="11"/>
  <c r="D82" i="11" s="1"/>
  <c r="C82" i="11"/>
  <c r="E59" i="11"/>
  <c r="G74" i="2"/>
  <c r="H74" i="2" s="1"/>
  <c r="G19" i="2"/>
  <c r="H19" i="2" s="1"/>
  <c r="F59" i="2"/>
  <c r="G59" i="2" s="1"/>
  <c r="G104" i="2"/>
  <c r="H104" i="2" s="1"/>
  <c r="G130" i="2"/>
  <c r="H130" i="2" s="1"/>
  <c r="G84" i="11"/>
  <c r="H84" i="11" s="1"/>
  <c r="G40" i="5"/>
  <c r="H40" i="5" s="1"/>
  <c r="G17" i="5"/>
  <c r="H17" i="5" s="1"/>
  <c r="G66" i="10"/>
  <c r="H66" i="10" s="1"/>
  <c r="F14" i="10"/>
  <c r="G8" i="10"/>
  <c r="H8" i="10" s="1"/>
  <c r="F82" i="11"/>
  <c r="E83" i="11"/>
  <c r="E82" i="11" s="1"/>
  <c r="F59" i="11"/>
  <c r="G70" i="11"/>
  <c r="H70" i="11" s="1"/>
  <c r="G7" i="5"/>
  <c r="H7" i="5" s="1"/>
  <c r="E16" i="5"/>
  <c r="E14" i="10"/>
  <c r="E12" i="10"/>
  <c r="G5" i="10"/>
  <c r="H5" i="10" s="1"/>
  <c r="H60" i="10"/>
  <c r="F12" i="10"/>
  <c r="E72" i="10"/>
  <c r="D14" i="10"/>
  <c r="C14" i="10"/>
  <c r="G164" i="2"/>
  <c r="H164" i="2" s="1"/>
  <c r="D34" i="2"/>
  <c r="D33" i="2" s="1"/>
  <c r="C33" i="2"/>
  <c r="G16" i="2"/>
  <c r="H16" i="2" s="1"/>
  <c r="E103" i="2"/>
  <c r="D59" i="2"/>
  <c r="E59" i="2"/>
  <c r="E34" i="2"/>
  <c r="E33" i="2" s="1"/>
  <c r="G82" i="2"/>
  <c r="H82" i="2" s="1"/>
  <c r="F34" i="2"/>
  <c r="F33" i="2" s="1"/>
  <c r="E140" i="2"/>
  <c r="F140" i="2"/>
  <c r="D140" i="2"/>
  <c r="D103" i="2"/>
  <c r="G96" i="2"/>
  <c r="H96" i="2" s="1"/>
  <c r="G13" i="2"/>
  <c r="H13" i="2" s="1"/>
  <c r="G10" i="2"/>
  <c r="H10" i="2" s="1"/>
  <c r="G119" i="2"/>
  <c r="H119" i="2" s="1"/>
  <c r="G50" i="2"/>
  <c r="H50" i="2" s="1"/>
  <c r="D66" i="2"/>
  <c r="G90" i="2"/>
  <c r="H90" i="2" s="1"/>
  <c r="G39" i="2"/>
  <c r="H39" i="2" s="1"/>
  <c r="E66" i="2"/>
  <c r="G154" i="2"/>
  <c r="H154" i="2" s="1"/>
  <c r="G117" i="2"/>
  <c r="H117" i="2" s="1"/>
  <c r="G143" i="2"/>
  <c r="H143" i="2" s="1"/>
  <c r="G148" i="2"/>
  <c r="H148" i="2" s="1"/>
  <c r="F66" i="2"/>
  <c r="F103" i="2"/>
  <c r="G129" i="2"/>
  <c r="H129" i="2" s="1"/>
  <c r="G8" i="9"/>
  <c r="H8" i="9" s="1"/>
  <c r="G52" i="2"/>
  <c r="H52" i="2" s="1"/>
  <c r="G68" i="2"/>
  <c r="H68" i="2" s="1"/>
  <c r="G109" i="2"/>
  <c r="H109" i="2" s="1"/>
  <c r="F146" i="2"/>
  <c r="G146" i="2" s="1"/>
  <c r="H146" i="2" s="1"/>
  <c r="G142" i="2"/>
  <c r="H142" i="2" s="1"/>
  <c r="G115" i="2"/>
  <c r="H115" i="2" s="1"/>
  <c r="G141" i="2"/>
  <c r="H141" i="2" s="1"/>
  <c r="E36" i="5"/>
  <c r="E44" i="5" s="1"/>
  <c r="D36" i="5"/>
  <c r="D44" i="5" s="1"/>
  <c r="C36" i="5"/>
  <c r="C44" i="5" s="1"/>
  <c r="G72" i="10" l="1"/>
  <c r="H72" i="10" s="1"/>
  <c r="H5" i="2"/>
  <c r="G3" i="12"/>
  <c r="H3" i="12" s="1"/>
  <c r="T17" i="12"/>
  <c r="V15" i="12"/>
  <c r="W15" i="12" s="1"/>
  <c r="Q17" i="12"/>
  <c r="R15" i="12"/>
  <c r="R172" i="2"/>
  <c r="R4" i="12" s="1"/>
  <c r="Q4" i="12"/>
  <c r="Q57" i="11"/>
  <c r="R57" i="11" s="1"/>
  <c r="O55" i="11"/>
  <c r="L20" i="12"/>
  <c r="M20" i="12" s="1"/>
  <c r="M17" i="12"/>
  <c r="J55" i="11"/>
  <c r="L57" i="11"/>
  <c r="M57" i="11" s="1"/>
  <c r="T27" i="5"/>
  <c r="V29" i="5"/>
  <c r="W29" i="5" s="1"/>
  <c r="D58" i="2"/>
  <c r="D144" i="2" s="1"/>
  <c r="D172" i="2" s="1"/>
  <c r="D4" i="12" s="1"/>
  <c r="D5" i="12" s="1"/>
  <c r="D15" i="12" s="1"/>
  <c r="D17" i="12" s="1"/>
  <c r="D20" i="12" s="1"/>
  <c r="D57" i="11" s="1"/>
  <c r="D55" i="11" s="1"/>
  <c r="D49" i="11" s="1"/>
  <c r="D80" i="11" s="1"/>
  <c r="F58" i="2"/>
  <c r="E58" i="2"/>
  <c r="C144" i="2"/>
  <c r="C172" i="2" s="1"/>
  <c r="G14" i="10"/>
  <c r="H14" i="10" s="1"/>
  <c r="G12" i="10"/>
  <c r="H12" i="10" s="1"/>
  <c r="G4" i="2"/>
  <c r="H4" i="2" s="1"/>
  <c r="H59" i="2"/>
  <c r="L145" i="2"/>
  <c r="M145" i="2" s="1"/>
  <c r="U173" i="2"/>
  <c r="V173" i="2" s="1"/>
  <c r="W173" i="2" s="1"/>
  <c r="V153" i="2"/>
  <c r="W153" i="2" s="1"/>
  <c r="P173" i="2"/>
  <c r="Q173" i="2" s="1"/>
  <c r="R173" i="2" s="1"/>
  <c r="Q153" i="2"/>
  <c r="R153" i="2" s="1"/>
  <c r="K173" i="2"/>
  <c r="L173" i="2" s="1"/>
  <c r="M173" i="2" s="1"/>
  <c r="L153" i="2"/>
  <c r="M153" i="2" s="1"/>
  <c r="D12" i="10"/>
  <c r="E19" i="5"/>
  <c r="C19" i="5"/>
  <c r="D19" i="5"/>
  <c r="F19" i="5"/>
  <c r="G16" i="5"/>
  <c r="H16" i="5" s="1"/>
  <c r="G6" i="5"/>
  <c r="H6" i="5" s="1"/>
  <c r="G103" i="2"/>
  <c r="H103" i="2" s="1"/>
  <c r="G140" i="2"/>
  <c r="H140" i="2" s="1"/>
  <c r="G5" i="5"/>
  <c r="H5" i="5" s="1"/>
  <c r="G59" i="11"/>
  <c r="H59" i="11" s="1"/>
  <c r="F80" i="11"/>
  <c r="G83" i="11"/>
  <c r="H83" i="11" s="1"/>
  <c r="G82" i="11"/>
  <c r="H82" i="11" s="1"/>
  <c r="G32" i="5"/>
  <c r="H32" i="5" s="1"/>
  <c r="G114" i="2"/>
  <c r="H114" i="2" s="1"/>
  <c r="F3" i="2"/>
  <c r="G3" i="2" s="1"/>
  <c r="H3" i="2" s="1"/>
  <c r="G34" i="2"/>
  <c r="H34" i="2" s="1"/>
  <c r="D29" i="5"/>
  <c r="D27" i="5" s="1"/>
  <c r="D34" i="5" s="1"/>
  <c r="G66" i="2"/>
  <c r="H66" i="2" s="1"/>
  <c r="G31" i="5"/>
  <c r="H31" i="5" s="1"/>
  <c r="E27" i="5"/>
  <c r="E34" i="5" s="1"/>
  <c r="G33" i="2"/>
  <c r="H33" i="2" s="1"/>
  <c r="C34" i="5"/>
  <c r="F36" i="5"/>
  <c r="G39" i="5"/>
  <c r="H39" i="5" s="1"/>
  <c r="F29" i="5"/>
  <c r="G30" i="5"/>
  <c r="H30" i="5" s="1"/>
  <c r="D47" i="5" l="1"/>
  <c r="D46" i="11" s="1"/>
  <c r="D25" i="11" s="1"/>
  <c r="G58" i="2"/>
  <c r="H58" i="2" s="1"/>
  <c r="V17" i="12"/>
  <c r="W17" i="12" s="1"/>
  <c r="T20" i="12"/>
  <c r="O49" i="11"/>
  <c r="Q55" i="11"/>
  <c r="R55" i="11" s="1"/>
  <c r="Q20" i="12"/>
  <c r="R20" i="12" s="1"/>
  <c r="R17" i="12"/>
  <c r="J49" i="11"/>
  <c r="L55" i="11"/>
  <c r="M55" i="11" s="1"/>
  <c r="V27" i="5"/>
  <c r="W27" i="5" s="1"/>
  <c r="T34" i="5"/>
  <c r="E32" i="2"/>
  <c r="E144" i="2" s="1"/>
  <c r="E172" i="2" s="1"/>
  <c r="E4" i="12" s="1"/>
  <c r="E5" i="12" s="1"/>
  <c r="G19" i="5"/>
  <c r="H19" i="5" s="1"/>
  <c r="C47" i="5"/>
  <c r="E47" i="5"/>
  <c r="F163" i="2"/>
  <c r="G163" i="2" s="1"/>
  <c r="H163" i="2" s="1"/>
  <c r="D145" i="2"/>
  <c r="D153" i="2" s="1"/>
  <c r="D173" i="2" s="1"/>
  <c r="C145" i="2"/>
  <c r="C153" i="2" s="1"/>
  <c r="C173" i="2" s="1"/>
  <c r="F32" i="2"/>
  <c r="F27" i="5"/>
  <c r="G29" i="5"/>
  <c r="H29" i="5" s="1"/>
  <c r="G36" i="5"/>
  <c r="H36" i="5" s="1"/>
  <c r="F44" i="5"/>
  <c r="D51" i="5" l="1"/>
  <c r="D47" i="11"/>
  <c r="E15" i="12"/>
  <c r="E46" i="11"/>
  <c r="E25" i="11" s="1"/>
  <c r="E51" i="5"/>
  <c r="G51" i="5" s="1"/>
  <c r="H51" i="5" s="1"/>
  <c r="T57" i="11"/>
  <c r="V20" i="12"/>
  <c r="W20" i="12" s="1"/>
  <c r="Q49" i="11"/>
  <c r="R49" i="11" s="1"/>
  <c r="O80" i="11"/>
  <c r="Q80" i="11" s="1"/>
  <c r="R80" i="11" s="1"/>
  <c r="L49" i="11"/>
  <c r="M49" i="11" s="1"/>
  <c r="J80" i="11"/>
  <c r="L80" i="11" s="1"/>
  <c r="M80" i="11" s="1"/>
  <c r="L3" i="5"/>
  <c r="M3" i="5" s="1"/>
  <c r="J47" i="5"/>
  <c r="J51" i="5" s="1"/>
  <c r="L51" i="5" s="1"/>
  <c r="M51" i="5" s="1"/>
  <c r="V34" i="5"/>
  <c r="W34" i="5" s="1"/>
  <c r="E145" i="2"/>
  <c r="E153" i="2" s="1"/>
  <c r="E173" i="2" s="1"/>
  <c r="G32" i="2"/>
  <c r="H32" i="2" s="1"/>
  <c r="G3" i="5"/>
  <c r="H3" i="5" s="1"/>
  <c r="F144" i="2"/>
  <c r="F145" i="2" s="1"/>
  <c r="G44" i="5"/>
  <c r="H44" i="5" s="1"/>
  <c r="G27" i="5"/>
  <c r="H27" i="5" s="1"/>
  <c r="F34" i="5"/>
  <c r="E17" i="12" l="1"/>
  <c r="E20" i="12" s="1"/>
  <c r="E57" i="11" s="1"/>
  <c r="G46" i="11"/>
  <c r="H46" i="11" s="1"/>
  <c r="V57" i="11"/>
  <c r="W57" i="11" s="1"/>
  <c r="T55" i="11"/>
  <c r="J46" i="11"/>
  <c r="L47" i="5"/>
  <c r="M47" i="5" s="1"/>
  <c r="F172" i="2"/>
  <c r="G144" i="2"/>
  <c r="H144" i="2" s="1"/>
  <c r="G145" i="2"/>
  <c r="H145" i="2" s="1"/>
  <c r="F153" i="2"/>
  <c r="F173" i="2" s="1"/>
  <c r="G34" i="5"/>
  <c r="H34" i="5" s="1"/>
  <c r="F47" i="5"/>
  <c r="G172" i="2" l="1"/>
  <c r="H172" i="2" s="1"/>
  <c r="F4" i="12"/>
  <c r="F5" i="12" s="1"/>
  <c r="E55" i="11"/>
  <c r="G57" i="11"/>
  <c r="H57" i="11" s="1"/>
  <c r="L46" i="11"/>
  <c r="M46" i="11" s="1"/>
  <c r="J25" i="11"/>
  <c r="J47" i="11" s="1"/>
  <c r="J85" i="11" s="1"/>
  <c r="T49" i="11"/>
  <c r="V55" i="11"/>
  <c r="W55" i="11" s="1"/>
  <c r="Q3" i="5"/>
  <c r="R3" i="5" s="1"/>
  <c r="O47" i="5"/>
  <c r="G153" i="2"/>
  <c r="H153" i="2" s="1"/>
  <c r="G173" i="2"/>
  <c r="H173" i="2" s="1"/>
  <c r="G47" i="5"/>
  <c r="H47" i="5" s="1"/>
  <c r="G4" i="12" l="1"/>
  <c r="F15" i="12"/>
  <c r="G5" i="12"/>
  <c r="H5" i="12" s="1"/>
  <c r="E49" i="11"/>
  <c r="G55" i="11"/>
  <c r="H55" i="11" s="1"/>
  <c r="O46" i="11"/>
  <c r="O25" i="11" s="1"/>
  <c r="O51" i="5"/>
  <c r="Q51" i="5" s="1"/>
  <c r="R51" i="5" s="1"/>
  <c r="T80" i="11"/>
  <c r="V80" i="11" s="1"/>
  <c r="W80" i="11" s="1"/>
  <c r="V49" i="11"/>
  <c r="W49" i="11" s="1"/>
  <c r="Q47" i="5"/>
  <c r="R47" i="5" s="1"/>
  <c r="E3" i="9"/>
  <c r="G5" i="9"/>
  <c r="H5" i="9" s="1"/>
  <c r="C3" i="9"/>
  <c r="F3" i="9"/>
  <c r="G4" i="9"/>
  <c r="H4" i="9" s="1"/>
  <c r="G6" i="9"/>
  <c r="H6" i="9" s="1"/>
  <c r="G7" i="9"/>
  <c r="H7" i="9" s="1"/>
  <c r="D3" i="9"/>
  <c r="F17" i="12" l="1"/>
  <c r="F20" i="12" s="1"/>
  <c r="G15" i="12"/>
  <c r="G49" i="11"/>
  <c r="H49" i="11" s="1"/>
  <c r="E80" i="11"/>
  <c r="G80" i="11" s="1"/>
  <c r="H80" i="11" s="1"/>
  <c r="V3" i="5"/>
  <c r="W3" i="5" s="1"/>
  <c r="T47" i="5"/>
  <c r="T51" i="5" s="1"/>
  <c r="V51" i="5" s="1"/>
  <c r="W51" i="5" s="1"/>
  <c r="G3" i="9"/>
  <c r="H3" i="9" s="1"/>
  <c r="C16" i="9"/>
  <c r="C25" i="9" s="1"/>
  <c r="G20" i="9"/>
  <c r="H20" i="9" s="1"/>
  <c r="E17" i="9"/>
  <c r="E16" i="9" s="1"/>
  <c r="E25" i="9" s="1"/>
  <c r="G23" i="9"/>
  <c r="H23" i="9" s="1"/>
  <c r="G19" i="9"/>
  <c r="H19" i="9" s="1"/>
  <c r="G21" i="9"/>
  <c r="H21" i="9" s="1"/>
  <c r="D17" i="9"/>
  <c r="D16" i="9" s="1"/>
  <c r="D25" i="9" s="1"/>
  <c r="G18" i="9"/>
  <c r="H18" i="9" s="1"/>
  <c r="F17" i="9"/>
  <c r="G22" i="9"/>
  <c r="H22" i="9" s="1"/>
  <c r="G24" i="9"/>
  <c r="H24" i="9" s="1"/>
  <c r="G17" i="12" l="1"/>
  <c r="H15" i="12"/>
  <c r="V47" i="5"/>
  <c r="W47" i="5" s="1"/>
  <c r="T46" i="11"/>
  <c r="G17" i="9"/>
  <c r="H17" i="9" s="1"/>
  <c r="F16" i="9"/>
  <c r="H17" i="12" l="1"/>
  <c r="G20" i="12"/>
  <c r="H20" i="12" s="1"/>
  <c r="V46" i="11"/>
  <c r="W46" i="11" s="1"/>
  <c r="T25" i="11"/>
  <c r="F25" i="9"/>
  <c r="G16" i="9"/>
  <c r="H16" i="9" s="1"/>
  <c r="G25" i="9" l="1"/>
  <c r="H25" i="9" s="1"/>
  <c r="P47" i="11"/>
  <c r="T47" i="11"/>
  <c r="T85" i="11" s="1"/>
  <c r="U47" i="11"/>
  <c r="D85" i="11"/>
  <c r="O47" i="11"/>
  <c r="O85" i="11" s="1"/>
  <c r="E47" i="11"/>
  <c r="E85" i="11" s="1"/>
  <c r="L25" i="11" l="1"/>
  <c r="M25" i="11" s="1"/>
  <c r="G25" i="11"/>
  <c r="V47" i="11"/>
  <c r="W47" i="11" s="1"/>
  <c r="K47" i="11"/>
  <c r="L47" i="11" s="1"/>
  <c r="M47" i="11" s="1"/>
  <c r="Q47" i="11"/>
  <c r="R47" i="11" s="1"/>
  <c r="Q25" i="11"/>
  <c r="R25" i="11" s="1"/>
  <c r="V25" i="11"/>
  <c r="W25" i="11" s="1"/>
  <c r="H25" i="11" l="1"/>
  <c r="H47" i="11" s="1"/>
  <c r="G47" i="11"/>
</calcChain>
</file>

<file path=xl/sharedStrings.xml><?xml version="1.0" encoding="utf-8"?>
<sst xmlns="http://schemas.openxmlformats.org/spreadsheetml/2006/main" count="1158" uniqueCount="707">
  <si>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</si>
  <si>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</si>
  <si>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</si>
  <si>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</si>
  <si>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</si>
  <si>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</si>
  <si>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</si>
  <si>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</si>
  <si>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</si>
  <si>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</si>
  <si>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</si>
  <si>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</si>
  <si>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</si>
  <si>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</si>
  <si>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</si>
  <si>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</si>
  <si>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</si>
  <si>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</si>
  <si>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</si>
  <si>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</si>
  <si>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</si>
  <si>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</si>
  <si>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</si>
  <si>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</si>
  <si>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</si>
  <si>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</si>
  <si>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</si>
  <si>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</si>
  <si>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</si>
  <si>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</si>
  <si>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</si>
  <si>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</si>
  <si>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</si>
  <si>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</si>
  <si>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</si>
  <si>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</si>
  <si>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</si>
  <si>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</si>
  <si>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</si>
  <si>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</si>
  <si>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</si>
  <si>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</si>
  <si>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</si>
  <si>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</si>
  <si>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</si>
  <si>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</si>
  <si>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</si>
  <si>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</si>
  <si>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</si>
  <si>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</si>
  <si>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</si>
  <si>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</si>
  <si>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</si>
  <si>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</si>
  <si>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</si>
  <si>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</si>
  <si>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</si>
  <si>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</si>
  <si>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</si>
  <si>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</si>
  <si>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</si>
  <si>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</si>
  <si>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</si>
  <si>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</si>
  <si>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</si>
  <si>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</si>
  <si>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</si>
  <si>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</si>
  <si>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</si>
  <si>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</si>
  <si>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</si>
  <si>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</si>
  <si>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</si>
  <si>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</si>
  <si>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</si>
  <si>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</si>
  <si>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</si>
  <si>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</si>
  <si>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</si>
  <si>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</si>
  <si>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</si>
  <si>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</si>
  <si>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</si>
  <si>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</si>
  <si>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</si>
  <si>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</si>
  <si>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</si>
  <si>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</si>
  <si>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</si>
  <si>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</si>
  <si>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</si>
  <si>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</si>
  <si>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</si>
  <si>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</si>
  <si>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</si>
  <si>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</si>
  <si>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</si>
  <si>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</si>
  <si>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</si>
  <si>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</si>
  <si>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</si>
  <si>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</si>
  <si>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</si>
  <si>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</si>
  <si>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</si>
  <si>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</si>
  <si>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</si>
  <si>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</si>
  <si>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</si>
  <si>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</si>
  <si>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</si>
  <si>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</si>
  <si>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</si>
  <si>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</si>
  <si>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</si>
  <si>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</si>
  <si>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</si>
  <si>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</si>
  <si>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</si>
  <si>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</si>
  <si>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</si>
  <si>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</si>
  <si>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</si>
  <si>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</si>
  <si>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</si>
  <si>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</si>
  <si>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</si>
  <si>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</si>
  <si>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</si>
  <si>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</si>
  <si>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</si>
  <si>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</si>
  <si>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</si>
  <si>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</si>
  <si>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</si>
  <si>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</si>
  <si>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</si>
  <si>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</si>
  <si>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</si>
  <si>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</si>
  <si>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</si>
  <si>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</si>
  <si>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</si>
  <si>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</si>
  <si>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</si>
  <si>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</si>
  <si>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</si>
  <si>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</si>
  <si>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</si>
  <si>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</si>
  <si>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</si>
  <si>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</si>
  <si>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</si>
  <si>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</si>
  <si>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</si>
  <si>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</si>
  <si>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</si>
  <si>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</si>
  <si>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</si>
  <si>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</si>
  <si>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</si>
  <si>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</si>
  <si>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</si>
  <si>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</si>
  <si>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</si>
  <si>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</si>
  <si>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</si>
  <si>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</si>
  <si>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</si>
  <si>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</si>
  <si>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</si>
  <si>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</si>
  <si>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</si>
  <si>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</si>
  <si>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</si>
  <si>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</si>
  <si>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</si>
  <si>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</si>
  <si>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</si>
  <si>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</si>
  <si>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</si>
  <si>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</si>
  <si>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</si>
  <si>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</si>
  <si>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</si>
  <si>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</si>
  <si>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</si>
  <si>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</si>
  <si>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</si>
  <si>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</si>
  <si>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</si>
  <si>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</si>
  <si>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</si>
  <si>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</si>
  <si>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</si>
  <si>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</si>
  <si>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</si>
  <si>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</si>
  <si>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</si>
  <si>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</si>
  <si>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</si>
  <si>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</si>
  <si>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</si>
  <si>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</si>
  <si>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</si>
  <si>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</si>
  <si>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</si>
  <si>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</si>
  <si>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</si>
  <si>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</si>
  <si>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</si>
  <si>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</si>
  <si>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</si>
  <si>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</si>
  <si>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</si>
  <si>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</si>
  <si>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</si>
  <si>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</si>
  <si>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</si>
  <si>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</si>
  <si>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</si>
  <si>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</si>
  <si>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</si>
  <si>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</si>
  <si>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</si>
  <si>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</si>
  <si>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</si>
  <si>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</si>
  <si>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</si>
  <si>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</si>
  <si>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</si>
  <si>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</si>
  <si>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</si>
  <si>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</si>
  <si>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</si>
  <si>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</si>
  <si>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</si>
  <si>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</si>
  <si>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</si>
  <si>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</si>
  <si>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</si>
  <si>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</si>
  <si>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</si>
  <si>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</si>
  <si>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</si>
  <si>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</si>
  <si>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</si>
  <si>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</si>
  <si>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</si>
  <si>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23231</t>
  </si>
  <si>
    <t>23232</t>
  </si>
  <si>
    <t>00311</t>
  </si>
  <si>
    <t>00312</t>
  </si>
  <si>
    <t>Kapitālais remonts un rekonstrukcija</t>
  </si>
  <si>
    <t>Kopā intelektuālie īpašumi</t>
  </si>
  <si>
    <t>Kopā nekustamie īpašumi</t>
  </si>
  <si>
    <t>Kopā kustamie īpašumi</t>
  </si>
  <si>
    <t>Kopā ieguldījumi</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</si>
  <si>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</si>
  <si>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</si>
  <si>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</si>
  <si>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</si>
  <si>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</si>
  <si>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</si>
  <si>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</si>
  <si>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</si>
  <si>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</si>
  <si>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</si>
  <si>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</si>
  <si>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</si>
  <si>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</si>
  <si>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</si>
  <si>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</si>
  <si>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</si>
  <si>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</si>
  <si>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</si>
  <si>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</si>
  <si>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</si>
  <si>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</si>
  <si>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</si>
  <si>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</si>
  <si>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</si>
  <si>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</si>
  <si>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</si>
  <si>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</si>
  <si>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</si>
  <si>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</si>
  <si>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</si>
  <si>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</si>
  <si>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</si>
  <si>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</si>
  <si>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</si>
  <si>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</si>
  <si>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</si>
  <si>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</si>
  <si>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</si>
  <si>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</si>
  <si>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</si>
  <si>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</si>
  <si>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</si>
  <si>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</si>
  <si>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</si>
  <si>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Pašu kapitāls</t>
  </si>
  <si>
    <t>Pamatkapitāls</t>
  </si>
  <si>
    <t>Nesadalītā peļņa:</t>
  </si>
  <si>
    <t>Uzkrājumi</t>
  </si>
  <si>
    <t>Kreditori</t>
  </si>
  <si>
    <t>Ilgtermiņa kreditori</t>
  </si>
  <si>
    <t>Aizņēmumi no kredītiestādēm</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</si>
  <si>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</si>
  <si>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</si>
  <si>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</si>
  <si>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</si>
  <si>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</si>
  <si>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</si>
  <si>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</si>
  <si>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</si>
  <si>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</si>
  <si>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</si>
  <si>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</si>
  <si>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</si>
  <si>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</si>
  <si>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</si>
  <si>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</si>
  <si>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</si>
  <si>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Debitori</t>
  </si>
  <si>
    <t>Radniecīgo uzņēmumu parādi</t>
  </si>
  <si>
    <t>Citi debitori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</si>
  <si>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</si>
  <si>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</si>
  <si>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</si>
  <si>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</si>
  <si>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</si>
  <si>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</si>
  <si>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</si>
  <si>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</si>
  <si>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</si>
  <si>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</si>
  <si>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</si>
  <si>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</si>
  <si>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</si>
  <si>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</si>
  <si>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</si>
  <si>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</si>
  <si>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</si>
  <si>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</si>
  <si>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</si>
  <si>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</si>
  <si>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</si>
  <si>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</si>
  <si>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</si>
  <si>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</si>
  <si>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</si>
  <si>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</si>
  <si>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Rādītāja nosaukums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</si>
  <si>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</si>
  <si>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</si>
  <si>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</si>
  <si>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</si>
  <si>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</si>
  <si>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</si>
  <si>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</si>
  <si>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</si>
  <si>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</si>
  <si>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</si>
  <si>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</si>
  <si>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</si>
  <si>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</si>
  <si>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</si>
  <si>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</si>
  <si>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</si>
  <si>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</si>
  <si>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</si>
  <si>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</si>
  <si>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</si>
  <si>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</si>
  <si>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</si>
  <si>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</si>
  <si>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</si>
  <si>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</si>
  <si>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</si>
  <si>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</si>
  <si>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</si>
  <si>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</si>
  <si>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</si>
  <si>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</si>
  <si>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</si>
  <si>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</si>
  <si>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</si>
  <si>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</si>
  <si>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</si>
  <si>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</si>
  <si>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</si>
  <si>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</si>
  <si>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</si>
  <si>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</si>
  <si>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</si>
  <si>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</si>
  <si>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</si>
  <si>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</si>
  <si>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</si>
  <si>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</si>
  <si>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Kopējais stacionēto pacientu īpatsvars  no kopējā gadījumu skaita uzņemšanas nodaļā, % (23212/23110)</t>
  </si>
  <si>
    <t>Vidējais gultu noslogojums diennakts stacionārā, %</t>
  </si>
  <si>
    <t>Vidējais gultu noslogojums dienas stacionārā, %</t>
  </si>
  <si>
    <t>Ārstniecības personu īpatsvars, kas veic virsstundu darbu, no kopējā ārtsniecības personu skaita, %</t>
  </si>
  <si>
    <t>27200</t>
  </si>
  <si>
    <t>27110</t>
  </si>
  <si>
    <t>27300</t>
  </si>
  <si>
    <t>Novirze no n. gada pārskata perioda plāna, euro</t>
  </si>
  <si>
    <t>Novirze no n. gada pārskata perioda plāna, %</t>
  </si>
  <si>
    <t>N.p.k.</t>
  </si>
  <si>
    <t>t.sk. summa,
 kurai iestājies
 maks.termiņš</t>
  </si>
  <si>
    <t>Mazāk par 30 dienām kavētie maksājumi</t>
  </si>
  <si>
    <t>30 un vairāk dienas kavētie maksājumi</t>
  </si>
  <si>
    <t>1.</t>
  </si>
  <si>
    <t>1.2.</t>
  </si>
  <si>
    <t>1.2.1.</t>
  </si>
  <si>
    <t>…</t>
  </si>
  <si>
    <t>1.2.2.</t>
  </si>
  <si>
    <t>utt.</t>
  </si>
  <si>
    <t>1.3.</t>
  </si>
  <si>
    <t>1.3.1.</t>
  </si>
  <si>
    <t>1.3.2.</t>
  </si>
  <si>
    <t>1.4.</t>
  </si>
  <si>
    <t>1.4.1.</t>
  </si>
  <si>
    <t>1.4.2.</t>
  </si>
  <si>
    <t>2.</t>
  </si>
  <si>
    <t>2.1.</t>
  </si>
  <si>
    <t>2.1.1.</t>
  </si>
  <si>
    <t>2.1.2.</t>
  </si>
  <si>
    <t>2.2.</t>
  </si>
  <si>
    <t>2.2.1.</t>
  </si>
  <si>
    <t>2.2.2.</t>
  </si>
  <si>
    <t>2.3.</t>
  </si>
  <si>
    <t>2.3.1.</t>
  </si>
  <si>
    <t>2.3.2.</t>
  </si>
  <si>
    <t>2.4.</t>
  </si>
  <si>
    <t>2.4.1.</t>
  </si>
  <si>
    <t>2.4.2.</t>
  </si>
  <si>
    <t>2.5.</t>
  </si>
  <si>
    <t>2.5.1.</t>
  </si>
  <si>
    <t>2.5.2.</t>
  </si>
  <si>
    <t>2.6.</t>
  </si>
  <si>
    <t>2.6.1.</t>
  </si>
  <si>
    <t>2.6.2.</t>
  </si>
  <si>
    <t>2.7.</t>
  </si>
  <si>
    <t>2.7.1.</t>
  </si>
  <si>
    <t>2.7.2.</t>
  </si>
  <si>
    <t>2.8.</t>
  </si>
  <si>
    <t>2.8.1.</t>
  </si>
  <si>
    <t>2.8.2.</t>
  </si>
  <si>
    <t>Atlikums uz pārskata perioda beigām</t>
  </si>
  <si>
    <t>1.1.</t>
  </si>
  <si>
    <t>3.</t>
  </si>
  <si>
    <t>4.</t>
  </si>
  <si>
    <t>4.1.</t>
  </si>
  <si>
    <t>4.2.</t>
  </si>
  <si>
    <t>5.</t>
  </si>
  <si>
    <t>5.1.</t>
  </si>
  <si>
    <t>5.2.</t>
  </si>
  <si>
    <t>6.</t>
  </si>
  <si>
    <t xml:space="preserve">     Skaidrojumi par novirzēm ir jāsniedz  sekojošiem Ieguldījumu tāmes pozīciju kodiem: 51000, 52000 un 53000.</t>
  </si>
  <si>
    <t>Ieņēmumi no pašvaldības budžeta</t>
  </si>
  <si>
    <t>0021</t>
  </si>
  <si>
    <t>0022</t>
  </si>
  <si>
    <t>Pārējās licences, koncesijas un patenti, preču zīmes un tamlīdzīgas tiesības</t>
  </si>
  <si>
    <t>Medicīnas un laboratoijas iekārtas</t>
  </si>
  <si>
    <t>Pārējās tehnoloģiskās iekārtas un mašīnas</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</si>
  <si>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</si>
  <si>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</si>
  <si>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</si>
  <si>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</si>
  <si>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</si>
  <si>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</si>
  <si>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</si>
  <si>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</si>
  <si>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</si>
  <si>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</si>
  <si>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</si>
  <si>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</si>
  <si>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</si>
  <si>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</si>
  <si>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</si>
  <si>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</si>
  <si>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</si>
  <si>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Izpilde periodā no n. gada sākuma līdz III ceturkšņa beigām</t>
  </si>
  <si>
    <t>Izpilde periodā no n. gada sākuma līdz IV ceturkšņa beigām</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</si>
  <si>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</si>
  <si>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</si>
  <si>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</si>
  <si>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</si>
  <si>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</si>
  <si>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</si>
  <si>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</si>
  <si>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</si>
  <si>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Mazākumakcionāru peļņas vai zaudējumu daļa</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</si>
  <si>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</si>
  <si>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</si>
  <si>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</si>
  <si>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</si>
  <si>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</si>
  <si>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t xml:space="preserve">Pacientu skaits periodā, kuriem sniegta neatliekamā medicīniskā palīdzība un </t>
    </r>
    <r>
      <rPr>
        <i/>
        <sz val="12"/>
        <rFont val="Times New Roman"/>
        <family val="1"/>
      </rPr>
      <t>tie novirzīti turpmākai ambulatorai ārstēšanai</t>
    </r>
  </si>
  <si>
    <r>
      <t>Pacientu skaits periodā,</t>
    </r>
    <r>
      <rPr>
        <i/>
        <sz val="12"/>
        <rFont val="Times New Roman"/>
        <family val="1"/>
      </rPr>
      <t xml:space="preserve"> kuri stacionēti (bez observācijas)</t>
    </r>
  </si>
  <si>
    <r>
      <t xml:space="preserve">Pacientu skaits periodā, </t>
    </r>
    <r>
      <rPr>
        <i/>
        <sz val="12"/>
        <rFont val="Times New Roman"/>
        <family val="1"/>
      </rPr>
      <t>kuriem nodrošināts observācijas pakalpojums, t.sk.</t>
    </r>
  </si>
  <si>
    <r>
      <t>Vidējais</t>
    </r>
    <r>
      <rPr>
        <vertAlign val="superscript"/>
        <sz val="12"/>
        <rFont val="Times New Roman"/>
        <family val="1"/>
      </rPr>
      <t>1</t>
    </r>
    <r>
      <rPr>
        <sz val="12"/>
        <rFont val="Times New Roman"/>
        <family val="1"/>
      </rPr>
      <t xml:space="preserve"> observācijas gultu skaits</t>
    </r>
  </si>
  <si>
    <r>
      <t>Kopējais hospitalizācijas</t>
    </r>
    <r>
      <rPr>
        <vertAlign val="superscript"/>
        <sz val="12"/>
        <rFont val="Times New Roman"/>
        <family val="1"/>
      </rPr>
      <t>2</t>
    </r>
    <r>
      <rPr>
        <sz val="12"/>
        <rFont val="Times New Roman"/>
        <family val="1"/>
      </rPr>
      <t xml:space="preserve"> gadījumu skaits, t.sk.</t>
    </r>
  </si>
  <si>
    <r>
      <t>Valsts apmaksāto hospitalizācijas</t>
    </r>
    <r>
      <rPr>
        <i/>
        <vertAlign val="superscript"/>
        <sz val="12"/>
        <rFont val="Times New Roman"/>
        <family val="1"/>
      </rPr>
      <t>2</t>
    </r>
    <r>
      <rPr>
        <i/>
        <sz val="12"/>
        <rFont val="Times New Roman"/>
        <family val="1"/>
      </rPr>
      <t xml:space="preserve"> gadījumu skaits</t>
    </r>
  </si>
  <si>
    <r>
      <t>Plānveida hospitalizācijas</t>
    </r>
    <r>
      <rPr>
        <vertAlign val="superscript"/>
        <sz val="12"/>
        <rFont val="Times New Roman"/>
        <family val="1"/>
      </rPr>
      <t>2</t>
    </r>
    <r>
      <rPr>
        <sz val="12"/>
        <rFont val="Times New Roman"/>
        <family val="1"/>
      </rPr>
      <t xml:space="preserve"> gadījumu skaits, t.sk.:</t>
    </r>
  </si>
  <si>
    <r>
      <t>Valsts apmaksāto plānveida hospitalizācijas</t>
    </r>
    <r>
      <rPr>
        <i/>
        <vertAlign val="superscript"/>
        <sz val="12"/>
        <rFont val="Times New Roman"/>
        <family val="1"/>
      </rPr>
      <t>2</t>
    </r>
    <r>
      <rPr>
        <i/>
        <sz val="12"/>
        <rFont val="Times New Roman"/>
        <family val="1"/>
      </rPr>
      <t xml:space="preserve"> gadījumu skaits</t>
    </r>
  </si>
  <si>
    <r>
      <t>Neatliekamo hospitalizāciju</t>
    </r>
    <r>
      <rPr>
        <vertAlign val="superscript"/>
        <sz val="12"/>
        <rFont val="Times New Roman"/>
        <family val="1"/>
      </rPr>
      <t>2</t>
    </r>
    <r>
      <rPr>
        <sz val="12"/>
        <rFont val="Times New Roman"/>
        <family val="1"/>
      </rPr>
      <t xml:space="preserve"> gadījumu skaits, t.sk.:</t>
    </r>
  </si>
  <si>
    <r>
      <t>Valsts apmaksāto neatliekamo hospitalizācijas</t>
    </r>
    <r>
      <rPr>
        <i/>
        <vertAlign val="superscript"/>
        <sz val="12"/>
        <rFont val="Times New Roman"/>
        <family val="1"/>
      </rPr>
      <t>2</t>
    </r>
    <r>
      <rPr>
        <i/>
        <sz val="12"/>
        <rFont val="Times New Roman"/>
        <family val="1"/>
      </rPr>
      <t xml:space="preserve"> gadījumu skaits</t>
    </r>
  </si>
  <si>
    <r>
      <t>Atkārtoti hospitalizēto pacientu skaits, neieskaitot pacientus, kuriem nākamā hospitalizācija ir aprūpe vai rehabilitācija</t>
    </r>
    <r>
      <rPr>
        <vertAlign val="superscript"/>
        <sz val="12"/>
        <rFont val="Times New Roman"/>
        <family val="1"/>
      </rPr>
      <t>9</t>
    </r>
  </si>
  <si>
    <r>
      <t>Atkārtoti hospitalizēto pacientu skaits, kuriem nākamā hospitalizācija ir aprūpe,  rehabilitācija vai nākamais ārstēšanas posms</t>
    </r>
    <r>
      <rPr>
        <vertAlign val="superscript"/>
        <sz val="12"/>
        <rFont val="Times New Roman"/>
        <family val="1"/>
      </rPr>
      <t>10</t>
    </r>
  </si>
  <si>
    <r>
      <t>Ambultatori izdarīto operāciju skaits</t>
    </r>
    <r>
      <rPr>
        <vertAlign val="superscript"/>
        <sz val="12"/>
        <rFont val="Times New Roman"/>
        <family val="1"/>
      </rPr>
      <t>11</t>
    </r>
    <r>
      <rPr>
        <sz val="12"/>
        <rFont val="Times New Roman"/>
        <family val="1"/>
      </rPr>
      <t>, t.sk.:</t>
    </r>
  </si>
  <si>
    <r>
      <t xml:space="preserve">Klienta dienas vidējā realizācijas maksa, </t>
    </r>
    <r>
      <rPr>
        <i/>
        <sz val="12"/>
        <rFont val="Times New Roman"/>
        <family val="1"/>
      </rPr>
      <t>euro</t>
    </r>
  </si>
  <si>
    <r>
      <t xml:space="preserve">Klienta dienas vidējā pašizmaksa, </t>
    </r>
    <r>
      <rPr>
        <i/>
        <sz val="12"/>
        <rFont val="Times New Roman"/>
        <family val="1"/>
      </rPr>
      <t>euro</t>
    </r>
  </si>
  <si>
    <r>
      <t xml:space="preserve">Vidējais sociālās aprūpes ilgums, </t>
    </r>
    <r>
      <rPr>
        <i/>
        <sz val="12"/>
        <rFont val="Times New Roman"/>
        <family val="1"/>
      </rPr>
      <t xml:space="preserve">dienas </t>
    </r>
  </si>
  <si>
    <r>
      <t>Ārsti</t>
    </r>
    <r>
      <rPr>
        <vertAlign val="superscript"/>
        <sz val="12"/>
        <rFont val="Times New Roman"/>
        <family val="1"/>
      </rPr>
      <t>3</t>
    </r>
  </si>
  <si>
    <r>
      <t>Ārstniecības un pacientu aprūpes personāls</t>
    </r>
    <r>
      <rPr>
        <vertAlign val="superscript"/>
        <sz val="12"/>
        <rFont val="Times New Roman"/>
        <family val="1"/>
      </rPr>
      <t>4</t>
    </r>
  </si>
  <si>
    <r>
      <t>Ārstniecības un pacientu aprūpes atbalsta personāls</t>
    </r>
    <r>
      <rPr>
        <vertAlign val="superscript"/>
        <sz val="12"/>
        <rFont val="Times New Roman"/>
        <family val="1"/>
      </rPr>
      <t>5</t>
    </r>
  </si>
  <si>
    <r>
      <t>Administrācija</t>
    </r>
    <r>
      <rPr>
        <vertAlign val="superscript"/>
        <sz val="12"/>
        <rFont val="Times New Roman"/>
        <family val="1"/>
      </rPr>
      <t>6</t>
    </r>
  </si>
  <si>
    <r>
      <t>Pārējais personāls (t.sk. sanitāri)</t>
    </r>
    <r>
      <rPr>
        <vertAlign val="superscript"/>
        <sz val="12"/>
        <rFont val="Times New Roman"/>
        <family val="1"/>
      </rPr>
      <t>7</t>
    </r>
  </si>
  <si>
    <r>
      <t xml:space="preserve">Darbinieku </t>
    </r>
    <r>
      <rPr>
        <b/>
        <u/>
        <sz val="12"/>
        <rFont val="Times New Roman"/>
        <family val="1"/>
      </rPr>
      <t xml:space="preserve">vidējie </t>
    </r>
    <r>
      <rPr>
        <b/>
        <sz val="12"/>
        <rFont val="Times New Roman"/>
        <family val="1"/>
      </rPr>
      <t xml:space="preserve">ienākumi mēnesī: </t>
    </r>
  </si>
  <si>
    <r>
      <t>Kopējā slimnīcas telpu platība  (m</t>
    </r>
    <r>
      <rPr>
        <vertAlign val="superscript"/>
        <sz val="12"/>
        <rFont val="Times New Roman"/>
        <family val="1"/>
      </rPr>
      <t>2</t>
    </r>
    <r>
      <rPr>
        <sz val="12"/>
        <rFont val="Times New Roman"/>
        <family val="1"/>
      </rPr>
      <t>), t.sk.:</t>
    </r>
  </si>
  <si>
    <r>
      <t>Ūdens patēriņš  ( m</t>
    </r>
    <r>
      <rPr>
        <vertAlign val="superscript"/>
        <sz val="12"/>
        <rFont val="Times New Roman"/>
        <family val="1"/>
      </rPr>
      <t>3</t>
    </r>
    <r>
      <rPr>
        <sz val="12"/>
        <rFont val="Times New Roman"/>
        <family val="1"/>
      </rPr>
      <t>)</t>
    </r>
  </si>
  <si>
    <r>
      <t>Kanalizācija  (m</t>
    </r>
    <r>
      <rPr>
        <vertAlign val="superscript"/>
        <sz val="12"/>
        <rFont val="Times New Roman"/>
        <family val="1"/>
      </rPr>
      <t>3</t>
    </r>
    <r>
      <rPr>
        <sz val="12"/>
        <rFont val="Times New Roman"/>
        <family val="1"/>
      </rPr>
      <t>)</t>
    </r>
  </si>
  <si>
    <r>
      <t>Stacionāro pakalpojumu sniegšanai izmantotie medikamenti uz gultas dienu</t>
    </r>
    <r>
      <rPr>
        <vertAlign val="superscript"/>
        <sz val="12"/>
        <rFont val="Times New Roman"/>
        <family val="1"/>
      </rPr>
      <t>8</t>
    </r>
  </si>
  <si>
    <t xml:space="preserve">Attīstības pasākumi un programmas </t>
  </si>
  <si>
    <t xml:space="preserve">Datorprogrammas </t>
  </si>
  <si>
    <t xml:space="preserve">Pārējie nemateriālie ieguldījumi </t>
  </si>
  <si>
    <t xml:space="preserve">Nedzīvojamās ēkas </t>
  </si>
  <si>
    <t xml:space="preserve">Zeme zem ēkām un būvēm </t>
  </si>
  <si>
    <t xml:space="preserve">Pārējā zeme </t>
  </si>
  <si>
    <t xml:space="preserve">Celtnes un būves </t>
  </si>
  <si>
    <t xml:space="preserve">Pārējais nekustamais īpašums </t>
  </si>
  <si>
    <t xml:space="preserve">Nepabeigtā būvniecība </t>
  </si>
  <si>
    <t xml:space="preserve">Tehnoloģiskās iekārtas un mašīnas </t>
  </si>
  <si>
    <t xml:space="preserve">Transportlīdzekļi </t>
  </si>
  <si>
    <t xml:space="preserve">Saimniecības pamatlīdzekļi </t>
  </si>
  <si>
    <t xml:space="preserve">Datortehnika, sakaru un cita biroja tehnika </t>
  </si>
  <si>
    <t xml:space="preserve">Pārējie iepriekš neklasificētie pamatlīdzekļi </t>
  </si>
  <si>
    <t xml:space="preserve">Ilgtermiņa ieguldījumi nomātajos pamatlīdzekļos </t>
  </si>
  <si>
    <t>1.1.1.</t>
  </si>
  <si>
    <t>1.1.2.</t>
  </si>
  <si>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</si>
  <si>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</si>
  <si>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</si>
  <si>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</si>
  <si>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</si>
  <si>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</si>
  <si>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</si>
  <si>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</si>
  <si>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</si>
  <si>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</si>
  <si>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</si>
  <si>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</si>
  <si>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</si>
  <si>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</si>
  <si>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</si>
  <si>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</si>
  <si>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r>
      <t>Valsts pārvaldes deleģēto uzdevumu veikšana</t>
    </r>
    <r>
      <rPr>
        <vertAlign val="superscript"/>
        <sz val="12"/>
        <rFont val="Times New Roman"/>
        <family val="1"/>
      </rPr>
      <t>4</t>
    </r>
  </si>
  <si>
    <t>Maksas veselības aprūpes pakalpojumi</t>
  </si>
  <si>
    <t>Maksas sociālie pakalpojumi</t>
  </si>
  <si>
    <t>Pārējie saimnieciskās darbības ieņēmumi</t>
  </si>
  <si>
    <t>Ieņēmumi no nomas</t>
  </si>
  <si>
    <t>Nolietojums</t>
  </si>
  <si>
    <t>Skaidrojumi</t>
  </si>
  <si>
    <r>
      <t>Skaidrojumi</t>
    </r>
    <r>
      <rPr>
        <vertAlign val="superscript"/>
        <sz val="12"/>
        <rFont val="Times New Roman"/>
        <family val="1"/>
      </rPr>
      <t>12</t>
    </r>
  </si>
  <si>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</si>
  <si>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</si>
  <si>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</si>
  <si>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</si>
  <si>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t xml:space="preserve">Peļņas vai zaudējumu aprēķinu un Bilanci apkopo un norāda atbilstoši apstiprinātai kapitālsabiedrības grāmatvedības politikai.                      Visiem pielikumos norādītiem datiem jābūt loģiski savstarpēji saistītiem. </t>
  </si>
  <si>
    <r>
      <rPr>
        <vertAlign val="superscript"/>
        <sz val="12"/>
        <rFont val="Times New Roman"/>
        <family val="1"/>
      </rPr>
      <t xml:space="preserve">1 </t>
    </r>
    <r>
      <rPr>
        <sz val="12"/>
        <rFont val="Times New Roman"/>
        <family val="1"/>
      </rPr>
      <t xml:space="preserve"> "vidējais"  rādītāja vērtība katra mēneša pēdējā datumā un summa, dalot ar mēnešu skaitu pārskata periodā</t>
    </r>
  </si>
  <si>
    <r>
      <rPr>
        <vertAlign val="superscript"/>
        <sz val="12"/>
        <rFont val="Times New Roman"/>
        <family val="1"/>
      </rPr>
      <t xml:space="preserve">2 </t>
    </r>
    <r>
      <rPr>
        <sz val="12"/>
        <rFont val="Times New Roman"/>
        <family val="1"/>
      </rPr>
      <t>hospitalizāciju skaits, bez fiktīvās izrakstīšanās attiecīgā perioda ietvaros</t>
    </r>
  </si>
  <si>
    <r>
      <rPr>
        <vertAlign val="superscript"/>
        <sz val="12"/>
        <rFont val="Times New Roman"/>
        <family val="1"/>
      </rPr>
      <t xml:space="preserve">3 </t>
    </r>
    <r>
      <rPr>
        <sz val="12"/>
        <rFont val="Times New Roman"/>
        <family val="1"/>
      </rPr>
      <t>sertificēti  ārsti, zobārsti un funkcionālie speciālisti, reģistrēti ārsti, zobārsti un funkcionālie speciālisti, rezidenti</t>
    </r>
  </si>
  <si>
    <r>
      <rPr>
        <vertAlign val="superscript"/>
        <sz val="12"/>
        <rFont val="Times New Roman"/>
        <family val="1"/>
      </rPr>
      <t xml:space="preserve">4 </t>
    </r>
    <r>
      <rPr>
        <sz val="12"/>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</si>
  <si>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2"/>
        <rFont val="Times New Roman"/>
        <family val="1"/>
      </rPr>
      <t xml:space="preserve">5 </t>
    </r>
    <r>
      <rPr>
        <sz val="12"/>
        <rFont val="Times New Roman"/>
        <family val="1"/>
      </rPr>
      <t>māsu palīgi, zobārsta asistenti</t>
    </r>
  </si>
  <si>
    <r>
      <rPr>
        <vertAlign val="superscript"/>
        <sz val="12"/>
        <rFont val="Times New Roman"/>
        <family val="1"/>
      </rPr>
      <t xml:space="preserve">6 </t>
    </r>
    <r>
      <rPr>
        <sz val="12"/>
        <rFont val="Times New Roman"/>
        <family val="1"/>
      </rPr>
      <t xml:space="preserve">valde, padome, valdes/padomes birojs, ārstniecības personām, kuras tiešā veidā nav saistītas ar pacientu ārstēšanu -  klīniku vadītājiem, virsārstiem, profila virsārstiem, vecākajiem ārstiem, galvenajām māsām, ārstiem koordinatoriem, projektu vadītājiem, departamentu direktoriem un to vietniekiem, tehniskajam direktoram, kā arī sekojošām struktūrvienībām: komunikācijas, personāla vadības, finanšu, u.c. </t>
    </r>
  </si>
  <si>
    <r>
      <rPr>
        <vertAlign val="superscript"/>
        <sz val="12"/>
        <rFont val="Times New Roman"/>
        <family val="1"/>
      </rPr>
      <t xml:space="preserve">7 </t>
    </r>
    <r>
      <rPr>
        <sz val="12"/>
        <rFont val="Times New Roman"/>
        <family val="1"/>
      </rPr>
      <t>saimnieciskais personāls, ārstniecības un aprūpes procesu atbalsta personāls (t.sk. sanitāri)</t>
    </r>
  </si>
  <si>
    <r>
      <rPr>
        <vertAlign val="superscript"/>
        <sz val="12"/>
        <rFont val="Times New Roman"/>
        <family val="1"/>
      </rPr>
      <t xml:space="preserve">8 </t>
    </r>
    <r>
      <rPr>
        <sz val="12"/>
        <rFont val="Times New Roman"/>
        <family val="1"/>
      </rPr>
      <t>medikamenti, medicīnas preces, implanti, sterilizācijas materiāli, medicīnas instrumenti, laboratorijas preces stacionāro pakalpojumu nodrošināšanai (bez bezmaksas medikamnetiem un med. Precēm)/ Stacionāra gultu dienu skaits</t>
    </r>
  </si>
  <si>
    <r>
      <rPr>
        <vertAlign val="superscript"/>
        <sz val="12"/>
        <rFont val="Times New Roman"/>
        <family val="1"/>
      </rPr>
      <t xml:space="preserve">9 </t>
    </r>
    <r>
      <rPr>
        <sz val="12"/>
        <rFont val="Times New Roman"/>
        <family val="1"/>
      </rPr>
      <t>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</si>
  <si>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2"/>
        <rFont val="Times New Roman"/>
        <family val="1"/>
      </rPr>
      <t>10</t>
    </r>
    <r>
      <rPr>
        <sz val="12"/>
        <color theme="1"/>
        <rFont val="Calibri"/>
        <family val="2"/>
        <charset val="186"/>
        <scheme val="minor"/>
      </rPr>
      <t xml:space="preserve"> </t>
    </r>
    <r>
      <rPr>
        <sz val="12"/>
        <rFont val="Times New Roman"/>
        <family val="1"/>
      </rPr>
      <t>rehospitalizāciju skaitā ieskaita pacientus, kas atkārtoti hospitalizēti tajā pašā vai nākamajā dienā, kuru nākamā hospitalizācija ir aprūpe vai rehabilitācija (atbilstoši NVD mājas lapā publicētā "Pārskats par uz mājām izrakstītiem pacientiem, kas atkārtoti hospitalizēti tajā pašā vai nākamajā dienā" izslēgšanas kritērijos GPF kodam)</t>
    </r>
  </si>
  <si>
    <r>
      <rPr>
        <vertAlign val="superscript"/>
        <sz val="12"/>
        <rFont val="Times New Roman"/>
        <family val="1"/>
      </rPr>
      <t xml:space="preserve">11 </t>
    </r>
    <r>
      <rPr>
        <sz val="12"/>
        <rFont val="Times New Roman"/>
        <family val="1"/>
      </rPr>
      <t>atbilstoši NVD mājas lapā publocētajam "Valsts apmaksājamo manipulāciju un to apmaksas nosacījumu saraksts" Lielo ķirurģisko operāciju klasifikatoram (10.kolonna)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</si>
  <si>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</si>
  <si>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12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</si>
  <si>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</si>
  <si>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</si>
  <si>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r>
      <t xml:space="preserve">No pircējiem saņemtie avansi </t>
    </r>
    <r>
      <rPr>
        <b/>
        <vertAlign val="superscript"/>
        <sz val="12"/>
        <rFont val="Times New Roman"/>
        <family val="1"/>
      </rPr>
      <t>1</t>
    </r>
  </si>
  <si>
    <r>
      <t xml:space="preserve">Parādi piegādātājiem un darbuzņēmējiem </t>
    </r>
    <r>
      <rPr>
        <b/>
        <vertAlign val="superscript"/>
        <sz val="12"/>
        <rFont val="Times New Roman"/>
        <family val="1"/>
      </rPr>
      <t>1</t>
    </r>
  </si>
  <si>
    <r>
      <t xml:space="preserve">Pārējie kreditori </t>
    </r>
    <r>
      <rPr>
        <b/>
        <vertAlign val="superscript"/>
        <sz val="12"/>
        <rFont val="Times New Roman"/>
        <family val="1"/>
      </rPr>
      <t>1</t>
    </r>
  </si>
  <si>
    <r>
      <rPr>
        <vertAlign val="superscript"/>
        <sz val="12"/>
        <rFont val="Times New Roman"/>
        <family val="1"/>
      </rPr>
      <t>1</t>
    </r>
    <r>
      <rPr>
        <sz val="12"/>
        <rFont val="Times New Roman"/>
        <family val="1"/>
      </rPr>
      <t xml:space="preserve"> jānorāda 5 lielākos kreditorus, visus kavētos maksājumus un pārējo kreditoru kopsummu un kreditoru skaitu</t>
    </r>
  </si>
  <si>
    <r>
      <rPr>
        <vertAlign val="superscript"/>
        <sz val="12"/>
        <rFont val="Times New Roman"/>
        <family val="1"/>
      </rPr>
      <t>2</t>
    </r>
    <r>
      <rPr>
        <sz val="12"/>
        <rFont val="Times New Roman"/>
        <family val="1"/>
      </rPr>
      <t xml:space="preserve"> jānorāda 5 lielākos debitorus, visus kavētos maksājumus, pacientu parādu kopsummu un pārējo debitoru kopsummu un debitoru skaitu</t>
    </r>
  </si>
  <si>
    <t xml:space="preserve">Pārējie debitori </t>
  </si>
  <si>
    <r>
      <t xml:space="preserve">Uzkrātie ieņēmumi </t>
    </r>
    <r>
      <rPr>
        <b/>
        <vertAlign val="superscript"/>
        <sz val="12"/>
        <rFont val="Times New Roman"/>
        <family val="1"/>
      </rPr>
      <t>2</t>
    </r>
  </si>
  <si>
    <r>
      <t xml:space="preserve">Nākamo periodu izmaksas </t>
    </r>
    <r>
      <rPr>
        <b/>
        <vertAlign val="superscript"/>
        <sz val="12"/>
        <rFont val="Times New Roman"/>
        <family val="1"/>
      </rPr>
      <t>2</t>
    </r>
  </si>
  <si>
    <r>
      <t>Pircēju,pasūtītāju parādi</t>
    </r>
    <r>
      <rPr>
        <i/>
        <sz val="12"/>
        <rFont val="Times New Roman"/>
        <family val="1"/>
      </rPr>
      <t xml:space="preserve"> </t>
    </r>
    <r>
      <rPr>
        <b/>
        <vertAlign val="superscript"/>
        <sz val="12"/>
        <rFont val="Times New Roman"/>
        <family val="1"/>
      </rPr>
      <t>2</t>
    </r>
  </si>
  <si>
    <t>1</t>
  </si>
  <si>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</si>
  <si>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</si>
  <si>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</si>
  <si>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</si>
  <si>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</si>
  <si>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</si>
  <si>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</si>
  <si>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</si>
  <si>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</si>
  <si>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</si>
  <si>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</si>
  <si>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</si>
  <si>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</si>
  <si>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</si>
  <si>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</si>
  <si>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</si>
  <si>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</si>
  <si>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</si>
  <si>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</si>
  <si>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</si>
  <si>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</si>
  <si>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</si>
  <si>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</si>
  <si>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</si>
  <si>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</si>
  <si>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</si>
  <si>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</si>
  <si>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</si>
  <si>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</si>
  <si>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</si>
  <si>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</si>
  <si>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</si>
  <si>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</si>
  <si>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</si>
  <si>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</si>
  <si>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</si>
  <si>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</si>
  <si>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</si>
  <si>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2022.gada izpilde</t>
  </si>
  <si>
    <t>2023.gada
 plāns</t>
  </si>
  <si>
    <t>Plāns periodam no 2023. gada sākuma līdz I ceturkšņa beigām</t>
  </si>
  <si>
    <t>Plāns periodam no 2023. gada sākuma līdz II ceturkšņa beigām</t>
  </si>
  <si>
    <t>Plāns periodam no 2023. gada sākuma līdz III ceturkšņa beigām</t>
  </si>
  <si>
    <t>Plāns periodam no 2023. gada sākuma līdz IV ceturkšņa beigām</t>
  </si>
  <si>
    <t>Izpilde periodā no 2023. gada sākuma līdz I ceturkšņa beigām</t>
  </si>
  <si>
    <t>2.4.3.</t>
  </si>
  <si>
    <t>2.4.4.</t>
  </si>
  <si>
    <t>2.4.5.</t>
  </si>
  <si>
    <t>2.4.6.</t>
  </si>
  <si>
    <t>GREN Jelgava SIA</t>
  </si>
  <si>
    <t>TAMRO SIA</t>
  </si>
  <si>
    <t>ENEFIT SIA</t>
  </si>
  <si>
    <t>AC/DC SIA</t>
  </si>
  <si>
    <t>Magnuma Medical SIA</t>
  </si>
  <si>
    <t>Pārējie</t>
  </si>
  <si>
    <t>IIN</t>
  </si>
  <si>
    <t>VSAOI</t>
  </si>
  <si>
    <t>UDRVN</t>
  </si>
  <si>
    <t>Norēķini par darba algu</t>
  </si>
  <si>
    <t>Ieturējumi no darba algas</t>
  </si>
  <si>
    <t>Norēķini par pacientu perosīgo naudu</t>
  </si>
  <si>
    <t>Īstermiņa NPI</t>
  </si>
  <si>
    <t>Darbinieku atvaļinājumiem</t>
  </si>
  <si>
    <t>1.5.</t>
  </si>
  <si>
    <t>1.6.</t>
  </si>
  <si>
    <t>NVD stacionārie pakalpojumi</t>
  </si>
  <si>
    <t>NVD ambulatorie pakalpojumi</t>
  </si>
  <si>
    <t>Labklājības ministrija</t>
  </si>
  <si>
    <t>RSU</t>
  </si>
  <si>
    <t>QLS LATVIJA SIA</t>
  </si>
  <si>
    <t>Norēķini par pacientu iemaksām</t>
  </si>
  <si>
    <t>Uzkrājumi nedrošiem pacientu maksājumiem</t>
  </si>
  <si>
    <t>Norēķini par  šaubīgām pacientu iemaksām</t>
  </si>
  <si>
    <t>1.7.</t>
  </si>
  <si>
    <t>1.8.</t>
  </si>
  <si>
    <t>1.9.</t>
  </si>
  <si>
    <t>Uzkrājumi prasībai pret REMUS</t>
  </si>
  <si>
    <t>4.3.</t>
  </si>
  <si>
    <t>4.4.</t>
  </si>
  <si>
    <t>4.5.</t>
  </si>
  <si>
    <t>1.10.</t>
  </si>
  <si>
    <t>Atalgojums</t>
  </si>
  <si>
    <t>Apdrošināšana</t>
  </si>
  <si>
    <t>NĪN un citi</t>
  </si>
  <si>
    <t>IT pakalpojumi, noma,abonēšana(HORIZON,Palma Medical,Assistentis,Namejs)</t>
  </si>
  <si>
    <t>Darbs svētku dienās faktiski apmaksāts vairāk kā plānots, jo bija nodarbinātas 50 slodzes, lai gan plānots 45 slodzes</t>
  </si>
  <si>
    <t>DNL A lapas 2023.gada pārskata periodā =5732.4 h, 2022.gadā 6779.5 h, plānots iepriekšējā gada vid.apjomā</t>
  </si>
  <si>
    <t>Pārskata periodā patērēta siltumenerģija par 232.8 Mwh mazāk kā plānots, iepirkuma cena martā samazināta no 113.9215 euro uz 110.025 euro/Mwh</t>
  </si>
  <si>
    <t>Papildus plānotajām mācībām notikuši kursi  par krišanas risku novērtēšanu un novēršanu veselības un sociālajā aprūpē (RSU Sarkanā Krusta medicīnas koledža) 2430 euro</t>
  </si>
  <si>
    <t>Pārskata periodā bija plānots pabeigt Balss izziņošanas sistēmas nomaiņu 4 korpusos (22000 euro), bet darbi faktiski tiks pabeigti otrajā pārskata periodā.</t>
  </si>
  <si>
    <t>Pārskata periodam nekorekts plāns</t>
  </si>
  <si>
    <t>Pārskata periodā samazināts periods paklāju nomai</t>
  </si>
  <si>
    <t>Pārskata periodā netika veikti plānotie inventāra iepirkumi</t>
  </si>
  <si>
    <t>Tika veikti pasākumi sagādes transporta izdevumu mazināšanai</t>
  </si>
  <si>
    <t>Samazinājums saistīts ar siltumenerģijas  izejvielas un piegādātāju nomaiņu - no dabasgāzes slimnīcas katlu mājā uz šķeldas apkuri  SIA Gren Jelgava</t>
  </si>
  <si>
    <t>Absolūtos skaitļos novirze nebūtiska. Slimnīcā darba laika uzskaites pārskata periods ir 4 mēneši, līdz ar to no 01.-03.2023.vēl nav apmaksātas virsstundas nodarbinātajiem ar summēto darba laika uzskaiti</t>
  </si>
  <si>
    <t>Ar 01.2023.rezidente pārtrauc akadēmisko atvaļinājumu un atsāk rezidentūru, līdz ar to pieaug naudas plūsma par rezidentūras nodrošināšanu no RSU</t>
  </si>
  <si>
    <t>Pārskata periodā iegādātas 2 licences Microsoft T5D-03511 Office Home &amp; Business 2021 ( 2x240euro).</t>
  </si>
  <si>
    <t>Klientu uzdevumā pārskata periodā veiktas vairāk izmaksas kā saņemta pacientu personīgā nauda.</t>
  </si>
  <si>
    <t>Pārskata periodā nav noslēgts līgums par Saules paaneļu elektrostacijas izbūvi un nav veikts avansa maksājums</t>
  </si>
  <si>
    <t>NVD parāds par veselības aprūpes pakalpojumu sniegšanas no 253 875 euro gada sākumā pieaudzis līdz 464 590 euro pārskata perioda beigās</t>
  </si>
  <si>
    <r>
      <t>Skaidrojumi</t>
    </r>
    <r>
      <rPr>
        <vertAlign val="superscript"/>
        <sz val="12"/>
        <rFont val="Times New Roman"/>
        <family val="1"/>
        <charset val="186"/>
      </rPr>
      <t>2</t>
    </r>
  </si>
  <si>
    <t>Stacionārā palīdzība - pārskata perioda beigās NVD neapmaksātais apjoms 207 745.62 euro un 15 5823 euro pacientu iemaksa par atbrīvotajām kategorijām. Neizpilde par stacionārajiem pakalpojumiem, salīdzinot ar tehnisko budžeta plānu, veidojas no norēķina par rehabilitācijas pakalpojumiem psihiatrijas pacientiem - par veikto darbu pārskata mēnesī aprēķināto summu NVD iekļauj nākošajā mēnesī ( par 03.2023. faktiskie ieņēmumi iekļauti 04.2023. NVD rēķinā).  Pacientu iemaksa par atbrīvotajām kategorijām ambulatorajai palīdzībai, salīdzinot ar tehnisko  budžeta plānu, 1.cet. ir vairāk. Tas saistīts ar pacientu plūsmas palielināšanos gan ambulatorajā pieņemšanā psihiatrijā, gan dienas stacionāra apmeklējumu skaita pieaugumu - prognoze balstīta uz 2022.gada izpildi.</t>
  </si>
  <si>
    <t>Ja pārskata periodā NVD apmaksātu visu stacionāra sniegto veselības aprūpes pakalpojumu apjomu - 223 328.62 euro un tiktu veikts norēķins arī par sniegtajiem medicīniskās rehabilitācijas pakalpojumiem (aptuveni 30 tūkst.euro) 03.2023.,tad slimnīcai būtu peļņa, sasniedzot 20 tūkst.euro.</t>
  </si>
  <si>
    <t>Izpilde periodā no 2023. gada sākuma līdz II ceturkšņa beigām</t>
  </si>
  <si>
    <t>Novirze no 2023. gada pārskata perioda plāna, euro</t>
  </si>
  <si>
    <t>Novirze no 2023. gada pārskata perioda plāna, %</t>
  </si>
  <si>
    <t>Novirze no 2023 gada pārskata perioda plāna,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</si>
</sst>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0"/>
    <numFmt numFmtId="169" formatCode="#,##0.000"/>
  </numFmts>
  <fonts count="67"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sz val="12"/>
      <color indexed="8"/>
      <name val="Times New Roman"/>
      <family val="1"/>
    </font>
    <font>
      <b/>
      <sz val="12"/>
      <color indexed="8"/>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sz val="12"/>
      <color theme="1"/>
      <name val="Times New Roman"/>
      <family val="1"/>
    </font>
    <font>
      <b/>
      <u/>
      <sz val="12"/>
      <name val="Times New Roman"/>
      <family val="1"/>
    </font>
    <font>
      <sz val="12"/>
      <color theme="1"/>
      <name val="Calibri"/>
      <family val="2"/>
      <charset val="186"/>
      <scheme val="minor"/>
    </font>
    <font>
      <i/>
      <vertAlign val="superscript"/>
      <sz val="12"/>
      <name val="Times New Roman"/>
      <family val="1"/>
    </font>
    <font>
      <b/>
      <sz val="12"/>
      <color rgb="FF414142"/>
      <name val="Times New Roman"/>
      <family val="1"/>
    </font>
    <font>
      <b/>
      <vertAlign val="superscript"/>
      <sz val="12"/>
      <name val="Times New Roman"/>
      <family val="1"/>
    </font>
    <font>
      <b/>
      <sz val="12"/>
      <name val="Times New Roman"/>
      <family val="1"/>
      <charset val="186"/>
    </font>
    <font>
      <b/>
      <sz val="12"/>
      <color rgb="FFFF0000"/>
      <name val="Times New Roman"/>
      <family val="1"/>
    </font>
    <font>
      <i/>
      <sz val="12"/>
      <name val="Times New Roman"/>
      <family val="1"/>
      <charset val="186"/>
    </font>
    <font>
      <vertAlign val="superscript"/>
      <sz val="12"/>
      <name val="Times New Roman"/>
      <family val="1"/>
      <charset val="186"/>
    </font>
    <font>
      <sz val="10"/>
      <name val="Times New Roman"/>
      <family val="1"/>
      <charset val="186"/>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7" borderId="13" applyNumberFormat="0" applyAlignment="0" applyProtection="0"/>
    <xf numFmtId="0" fontId="20" fillId="7"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33" fillId="11" borderId="22" applyNumberFormat="0" applyFont="0" applyAlignment="0" applyProtection="0"/>
    <xf numFmtId="0" fontId="3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561">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4" fillId="0" borderId="0" xfId="0" applyNumberFormat="1" applyFont="1" applyAlignment="1">
      <alignment vertical="center"/>
    </xf>
    <xf numFmtId="3" fontId="43"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6" fillId="0" borderId="0" xfId="1467" applyFont="1" applyAlignment="1" applyProtection="1">
      <alignment vertical="center"/>
      <protection locked="0"/>
    </xf>
    <xf numFmtId="0" fontId="46" fillId="0" borderId="0" xfId="1467" applyFont="1" applyAlignment="1">
      <alignment vertical="center"/>
    </xf>
    <xf numFmtId="0" fontId="46" fillId="0" borderId="0" xfId="1467" applyFont="1" applyAlignment="1">
      <alignment horizontal="center" vertical="center"/>
    </xf>
    <xf numFmtId="0" fontId="40"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wrapText="1"/>
    </xf>
    <xf numFmtId="0" fontId="42" fillId="0" borderId="0" xfId="0" applyFont="1" applyAlignment="1">
      <alignment horizontal="center" vertical="center"/>
    </xf>
    <xf numFmtId="0" fontId="47" fillId="0" borderId="1" xfId="1" applyFont="1" applyBorder="1" applyAlignment="1">
      <alignment horizontal="center" vertical="center"/>
    </xf>
    <xf numFmtId="0" fontId="48" fillId="0" borderId="0" xfId="1" applyFont="1" applyAlignment="1">
      <alignment vertical="center"/>
    </xf>
    <xf numFmtId="3" fontId="48" fillId="0" borderId="1" xfId="6" applyNumberFormat="1" applyFont="1" applyBorder="1" applyAlignment="1">
      <alignment vertical="center" wrapText="1"/>
    </xf>
    <xf numFmtId="3" fontId="48" fillId="2" borderId="1" xfId="6" applyNumberFormat="1" applyFont="1" applyFill="1" applyBorder="1" applyAlignment="1">
      <alignment vertical="center" wrapText="1"/>
    </xf>
    <xf numFmtId="49" fontId="48" fillId="0" borderId="1" xfId="1" applyNumberFormat="1" applyFont="1" applyBorder="1" applyAlignment="1">
      <alignment horizontal="center" vertical="center"/>
    </xf>
    <xf numFmtId="49" fontId="48" fillId="0" borderId="0" xfId="1" applyNumberFormat="1" applyFont="1" applyAlignment="1">
      <alignment horizontal="center" vertical="center"/>
    </xf>
    <xf numFmtId="3" fontId="48" fillId="0" borderId="1" xfId="0" applyNumberFormat="1" applyFont="1" applyBorder="1" applyAlignment="1" applyProtection="1">
      <alignment horizontal="right" vertical="center"/>
      <protection locked="0"/>
    </xf>
    <xf numFmtId="0" fontId="45" fillId="0" borderId="0" xfId="1467" applyFont="1" applyAlignment="1">
      <alignment horizontal="center" vertical="center"/>
    </xf>
    <xf numFmtId="0" fontId="45" fillId="0" borderId="0" xfId="1467" applyFont="1" applyAlignment="1">
      <alignment vertical="center" wrapText="1"/>
    </xf>
    <xf numFmtId="3" fontId="45" fillId="0" borderId="0" xfId="1467" applyNumberFormat="1" applyFont="1" applyAlignment="1">
      <alignment horizontal="center" vertical="center"/>
    </xf>
    <xf numFmtId="3" fontId="43" fillId="0" borderId="0" xfId="1467" applyNumberFormat="1" applyFont="1" applyAlignment="1">
      <alignment horizontal="center" vertical="center"/>
    </xf>
    <xf numFmtId="9" fontId="43" fillId="0" borderId="0" xfId="12" applyFont="1" applyFill="1" applyBorder="1" applyAlignment="1" applyProtection="1">
      <alignment horizontal="center" vertical="center"/>
    </xf>
    <xf numFmtId="49" fontId="45" fillId="0" borderId="0" xfId="1467" applyNumberFormat="1" applyFont="1" applyAlignment="1">
      <alignment horizontal="center" vertical="center"/>
    </xf>
    <xf numFmtId="0" fontId="48" fillId="0" borderId="1" xfId="1467" applyFont="1" applyBorder="1" applyAlignment="1">
      <alignment horizontal="center" vertical="center"/>
    </xf>
    <xf numFmtId="3" fontId="48" fillId="0" borderId="1" xfId="0" applyNumberFormat="1" applyFont="1" applyBorder="1" applyAlignment="1">
      <alignment horizontal="center" vertical="center" wrapText="1"/>
    </xf>
    <xf numFmtId="3" fontId="51" fillId="3" borderId="1" xfId="0" applyNumberFormat="1" applyFont="1" applyFill="1" applyBorder="1" applyAlignment="1">
      <alignment horizontal="center" vertical="center" wrapText="1"/>
    </xf>
    <xf numFmtId="166" fontId="51" fillId="3" borderId="1" xfId="12" applyNumberFormat="1" applyFont="1" applyFill="1" applyBorder="1" applyAlignment="1" applyProtection="1">
      <alignment horizontal="center" vertical="center" wrapText="1"/>
    </xf>
    <xf numFmtId="3" fontId="51" fillId="3" borderId="1" xfId="12" applyNumberFormat="1" applyFont="1" applyFill="1" applyBorder="1" applyAlignment="1" applyProtection="1">
      <alignment horizontal="center" vertical="center" wrapText="1"/>
    </xf>
    <xf numFmtId="0" fontId="48" fillId="0" borderId="1" xfId="1467" applyFont="1" applyBorder="1" applyAlignment="1">
      <alignment vertical="center" wrapText="1"/>
    </xf>
    <xf numFmtId="3" fontId="48" fillId="0" borderId="1" xfId="1467" applyNumberFormat="1" applyFont="1" applyBorder="1" applyAlignment="1" applyProtection="1">
      <alignment horizontal="center" vertical="center"/>
      <protection locked="0"/>
    </xf>
    <xf numFmtId="3" fontId="51" fillId="0" borderId="1" xfId="1467" applyNumberFormat="1" applyFont="1" applyBorder="1" applyAlignment="1" applyProtection="1">
      <alignment horizontal="center" vertical="center"/>
      <protection locked="0"/>
    </xf>
    <xf numFmtId="9" fontId="51" fillId="0" borderId="1" xfId="12" applyFont="1" applyFill="1" applyBorder="1" applyAlignment="1" applyProtection="1">
      <alignment horizontal="center" vertical="center"/>
      <protection locked="0"/>
    </xf>
    <xf numFmtId="49" fontId="48" fillId="0" borderId="1" xfId="1467" applyNumberFormat="1" applyFont="1" applyBorder="1" applyAlignment="1" applyProtection="1">
      <alignment horizontal="center" vertical="center"/>
      <protection locked="0"/>
    </xf>
    <xf numFmtId="0" fontId="47" fillId="28" borderId="1" xfId="1467" applyFont="1" applyFill="1" applyBorder="1" applyAlignment="1">
      <alignment horizontal="center" vertical="center"/>
    </xf>
    <xf numFmtId="0" fontId="47" fillId="28" borderId="1" xfId="1467" applyFont="1" applyFill="1" applyBorder="1" applyAlignment="1">
      <alignment vertical="center" wrapText="1"/>
    </xf>
    <xf numFmtId="3" fontId="47" fillId="28" borderId="1" xfId="1467" applyNumberFormat="1" applyFont="1" applyFill="1" applyBorder="1" applyAlignment="1">
      <alignment horizontal="center" vertical="center"/>
    </xf>
    <xf numFmtId="3" fontId="54" fillId="28" borderId="1" xfId="1467" applyNumberFormat="1" applyFont="1" applyFill="1" applyBorder="1" applyAlignment="1">
      <alignment horizontal="center" vertical="center"/>
    </xf>
    <xf numFmtId="9" fontId="54" fillId="28" borderId="1" xfId="12" applyFont="1" applyFill="1" applyBorder="1" applyAlignment="1" applyProtection="1">
      <alignment horizontal="center" vertical="center"/>
    </xf>
    <xf numFmtId="49" fontId="47" fillId="28" borderId="1" xfId="1467" applyNumberFormat="1" applyFont="1" applyFill="1" applyBorder="1" applyAlignment="1">
      <alignment horizontal="center" vertical="center"/>
    </xf>
    <xf numFmtId="3" fontId="47" fillId="28" borderId="1" xfId="1467" applyNumberFormat="1" applyFont="1" applyFill="1" applyBorder="1" applyAlignment="1" applyProtection="1">
      <alignment horizontal="center" vertical="center"/>
      <protection locked="0"/>
    </xf>
    <xf numFmtId="0" fontId="48" fillId="2" borderId="1" xfId="1467" applyFont="1" applyFill="1" applyBorder="1" applyAlignment="1">
      <alignment horizontal="center" vertical="center"/>
    </xf>
    <xf numFmtId="0" fontId="48" fillId="2" borderId="1" xfId="1467" applyFont="1" applyFill="1" applyBorder="1" applyAlignment="1">
      <alignment vertical="center" wrapText="1"/>
    </xf>
    <xf numFmtId="3" fontId="47" fillId="2" borderId="1" xfId="1467" applyNumberFormat="1" applyFont="1" applyFill="1" applyBorder="1" applyAlignment="1">
      <alignment horizontal="center" vertical="center"/>
    </xf>
    <xf numFmtId="3" fontId="54" fillId="2" borderId="1" xfId="1467" applyNumberFormat="1" applyFont="1" applyFill="1" applyBorder="1" applyAlignment="1">
      <alignment horizontal="center" vertical="center"/>
    </xf>
    <xf numFmtId="9" fontId="54" fillId="2" borderId="1" xfId="12" applyFont="1" applyFill="1" applyBorder="1" applyAlignment="1" applyProtection="1">
      <alignment horizontal="center" vertical="center"/>
    </xf>
    <xf numFmtId="49" fontId="47" fillId="2" borderId="1" xfId="1467" applyNumberFormat="1" applyFont="1" applyFill="1" applyBorder="1" applyAlignment="1">
      <alignment horizontal="center" vertical="center"/>
    </xf>
    <xf numFmtId="3" fontId="55" fillId="0" borderId="0" xfId="0" applyNumberFormat="1" applyFont="1" applyAlignment="1">
      <alignment vertical="center"/>
    </xf>
    <xf numFmtId="0" fontId="48" fillId="0" borderId="0" xfId="1467" applyFont="1" applyAlignment="1">
      <alignment vertical="center"/>
    </xf>
    <xf numFmtId="3" fontId="48" fillId="2" borderId="1" xfId="6" applyNumberFormat="1" applyFont="1" applyFill="1" applyBorder="1" applyAlignment="1">
      <alignment horizontal="center" vertical="center" wrapText="1"/>
    </xf>
    <xf numFmtId="0" fontId="48" fillId="0" borderId="0" xfId="0" applyFont="1" applyAlignment="1">
      <alignment vertical="center"/>
    </xf>
    <xf numFmtId="0" fontId="48" fillId="0" borderId="1" xfId="0" applyFont="1" applyBorder="1" applyAlignment="1">
      <alignment horizontal="center" vertical="center"/>
    </xf>
    <xf numFmtId="0" fontId="47" fillId="28" borderId="1" xfId="1" applyFont="1" applyFill="1" applyBorder="1" applyAlignment="1">
      <alignment horizontal="left" vertical="center"/>
    </xf>
    <xf numFmtId="3" fontId="47" fillId="28" borderId="1" xfId="1" applyNumberFormat="1" applyFont="1" applyFill="1" applyBorder="1" applyAlignment="1">
      <alignment horizontal="right" vertical="center"/>
    </xf>
    <xf numFmtId="3" fontId="54" fillId="28" borderId="1" xfId="1" applyNumberFormat="1" applyFont="1" applyFill="1" applyBorder="1" applyAlignment="1">
      <alignment horizontal="center" vertical="center"/>
    </xf>
    <xf numFmtId="49" fontId="47" fillId="28" borderId="1" xfId="1" applyNumberFormat="1" applyFont="1" applyFill="1" applyBorder="1" applyAlignment="1">
      <alignment vertical="center"/>
    </xf>
    <xf numFmtId="3" fontId="48" fillId="2" borderId="1" xfId="6" applyNumberFormat="1" applyFont="1" applyFill="1" applyBorder="1" applyAlignment="1">
      <alignment horizontal="left" vertical="center" wrapText="1"/>
    </xf>
    <xf numFmtId="3" fontId="48" fillId="0" borderId="1" xfId="1" applyNumberFormat="1" applyFont="1" applyBorder="1" applyAlignment="1" applyProtection="1">
      <alignment horizontal="right" vertical="center"/>
      <protection locked="0"/>
    </xf>
    <xf numFmtId="3" fontId="51" fillId="0" borderId="1" xfId="1" applyNumberFormat="1" applyFont="1" applyBorder="1" applyAlignment="1" applyProtection="1">
      <alignment horizontal="center" vertical="center"/>
      <protection locked="0"/>
    </xf>
    <xf numFmtId="0" fontId="48" fillId="0" borderId="0" xfId="0" applyFont="1" applyAlignment="1" applyProtection="1">
      <alignment vertical="center"/>
      <protection locked="0"/>
    </xf>
    <xf numFmtId="0" fontId="48" fillId="0" borderId="1" xfId="0" applyFont="1" applyBorder="1" applyAlignment="1" applyProtection="1">
      <alignment vertical="center"/>
      <protection locked="0"/>
    </xf>
    <xf numFmtId="3" fontId="48" fillId="0" borderId="1" xfId="6" applyNumberFormat="1" applyFont="1" applyBorder="1" applyAlignment="1">
      <alignment horizontal="left" vertical="center" wrapText="1"/>
    </xf>
    <xf numFmtId="3" fontId="48" fillId="2" borderId="1" xfId="1" applyNumberFormat="1" applyFont="1" applyFill="1" applyBorder="1" applyAlignment="1" applyProtection="1">
      <alignment horizontal="right" vertical="center"/>
      <protection locked="0"/>
    </xf>
    <xf numFmtId="3" fontId="51" fillId="2" borderId="1" xfId="1" applyNumberFormat="1" applyFont="1" applyFill="1" applyBorder="1" applyAlignment="1" applyProtection="1">
      <alignment horizontal="center" vertical="center"/>
      <protection locked="0"/>
    </xf>
    <xf numFmtId="9" fontId="51" fillId="2" borderId="1" xfId="12" applyFont="1" applyFill="1" applyBorder="1" applyAlignment="1" applyProtection="1">
      <alignment horizontal="center" vertical="center"/>
      <protection locked="0"/>
    </xf>
    <xf numFmtId="0" fontId="48" fillId="2" borderId="1" xfId="0" applyFont="1" applyFill="1" applyBorder="1" applyAlignment="1">
      <alignment horizontal="left" vertical="center"/>
    </xf>
    <xf numFmtId="0" fontId="47" fillId="0" borderId="0" xfId="1" applyFont="1" applyAlignment="1">
      <alignment horizontal="left" vertical="center"/>
    </xf>
    <xf numFmtId="3" fontId="47" fillId="0" borderId="0" xfId="6" applyNumberFormat="1" applyFont="1" applyAlignment="1">
      <alignment horizontal="left" vertical="center"/>
    </xf>
    <xf numFmtId="3" fontId="47" fillId="0" borderId="0" xfId="1" applyNumberFormat="1" applyFont="1" applyAlignment="1">
      <alignment horizontal="right" vertical="center"/>
    </xf>
    <xf numFmtId="3" fontId="54" fillId="0" borderId="0" xfId="1" applyNumberFormat="1" applyFont="1" applyAlignment="1">
      <alignment horizontal="center" vertical="center"/>
    </xf>
    <xf numFmtId="9" fontId="54" fillId="0" borderId="0" xfId="12" applyFont="1" applyFill="1" applyBorder="1" applyAlignment="1" applyProtection="1">
      <alignment horizontal="center" vertical="center"/>
    </xf>
    <xf numFmtId="49" fontId="47" fillId="0" borderId="0" xfId="1" applyNumberFormat="1" applyFont="1" applyAlignment="1">
      <alignment horizontal="left" vertical="center"/>
    </xf>
    <xf numFmtId="0" fontId="51" fillId="0" borderId="0" xfId="0" applyFont="1" applyAlignment="1" applyProtection="1">
      <alignment horizontal="center" vertical="center"/>
      <protection locked="0"/>
    </xf>
    <xf numFmtId="3" fontId="48" fillId="28" borderId="1" xfId="1" applyNumberFormat="1" applyFont="1" applyFill="1" applyBorder="1" applyAlignment="1">
      <alignment horizontal="right" vertical="center"/>
    </xf>
    <xf numFmtId="3" fontId="47" fillId="28" borderId="1" xfId="6" applyNumberFormat="1" applyFont="1" applyFill="1" applyBorder="1" applyAlignment="1">
      <alignment horizontal="left" vertical="center" wrapText="1"/>
    </xf>
    <xf numFmtId="3" fontId="51" fillId="28" borderId="1" xfId="1" applyNumberFormat="1" applyFont="1" applyFill="1" applyBorder="1" applyAlignment="1">
      <alignment horizontal="center" vertical="center"/>
    </xf>
    <xf numFmtId="9" fontId="51" fillId="28" borderId="1" xfId="12" applyFont="1" applyFill="1" applyBorder="1" applyAlignment="1" applyProtection="1">
      <alignment horizontal="center" vertical="center"/>
    </xf>
    <xf numFmtId="3" fontId="47" fillId="28" borderId="1" xfId="1" applyNumberFormat="1" applyFont="1" applyFill="1" applyBorder="1" applyAlignment="1" applyProtection="1">
      <alignment horizontal="right" vertical="center"/>
      <protection locked="0"/>
    </xf>
    <xf numFmtId="3" fontId="54" fillId="28" borderId="1" xfId="1" applyNumberFormat="1" applyFont="1" applyFill="1" applyBorder="1" applyAlignment="1" applyProtection="1">
      <alignment horizontal="center" vertical="center"/>
      <protection locked="0"/>
    </xf>
    <xf numFmtId="9" fontId="54" fillId="28" borderId="1" xfId="12" applyFont="1" applyFill="1" applyBorder="1" applyAlignment="1" applyProtection="1">
      <alignment horizontal="center" vertical="center"/>
      <protection locked="0"/>
    </xf>
    <xf numFmtId="0" fontId="47" fillId="28" borderId="1" xfId="6" applyFont="1" applyFill="1" applyBorder="1" applyAlignment="1">
      <alignment horizontal="left" vertical="center" wrapText="1"/>
    </xf>
    <xf numFmtId="3" fontId="47" fillId="28" borderId="1" xfId="6" applyNumberFormat="1" applyFont="1" applyFill="1" applyBorder="1" applyAlignment="1">
      <alignment horizontal="left" vertical="center"/>
    </xf>
    <xf numFmtId="0" fontId="48" fillId="0" borderId="0" xfId="1467" applyFont="1" applyAlignment="1">
      <alignment horizontal="left" vertical="top" wrapText="1"/>
    </xf>
    <xf numFmtId="0" fontId="51" fillId="0" borderId="0" xfId="0" applyFont="1" applyAlignment="1">
      <alignment horizontal="center" vertical="center"/>
    </xf>
    <xf numFmtId="0" fontId="48" fillId="2" borderId="1" xfId="6" applyFont="1" applyFill="1" applyBorder="1" applyAlignment="1">
      <alignment horizontal="center" vertical="center"/>
    </xf>
    <xf numFmtId="0" fontId="48" fillId="2" borderId="1" xfId="6" applyFont="1" applyFill="1" applyBorder="1" applyAlignment="1">
      <alignment vertical="center" wrapText="1"/>
    </xf>
    <xf numFmtId="3" fontId="48" fillId="2" borderId="1" xfId="6" applyNumberFormat="1" applyFont="1" applyFill="1" applyBorder="1" applyAlignment="1">
      <alignment horizontal="right" vertical="center" wrapText="1"/>
    </xf>
    <xf numFmtId="3" fontId="51" fillId="2" borderId="1" xfId="6" applyNumberFormat="1" applyFont="1" applyFill="1" applyBorder="1" applyAlignment="1">
      <alignment horizontal="center" vertical="center" wrapText="1"/>
    </xf>
    <xf numFmtId="9" fontId="51" fillId="2" borderId="1" xfId="12" applyFont="1" applyFill="1" applyBorder="1" applyAlignment="1" applyProtection="1">
      <alignment horizontal="center" vertical="center" wrapText="1"/>
    </xf>
    <xf numFmtId="49" fontId="48" fillId="2" borderId="26" xfId="6" applyNumberFormat="1" applyFont="1" applyFill="1" applyBorder="1" applyAlignment="1">
      <alignment horizontal="left" vertical="center" wrapText="1"/>
    </xf>
    <xf numFmtId="0" fontId="48" fillId="2" borderId="1" xfId="6" applyFont="1" applyFill="1" applyBorder="1" applyAlignment="1">
      <alignment horizontal="left" vertical="center" wrapText="1" indent="3"/>
    </xf>
    <xf numFmtId="49" fontId="48" fillId="2" borderId="4" xfId="6" applyNumberFormat="1" applyFont="1" applyFill="1" applyBorder="1" applyAlignment="1">
      <alignment horizontal="center" vertical="center" wrapText="1"/>
    </xf>
    <xf numFmtId="3" fontId="48" fillId="2" borderId="1" xfId="0" applyNumberFormat="1" applyFont="1" applyFill="1" applyBorder="1" applyAlignment="1">
      <alignment horizontal="left" vertical="center" wrapText="1" indent="3"/>
    </xf>
    <xf numFmtId="3" fontId="48" fillId="2" borderId="1" xfId="0" applyNumberFormat="1" applyFont="1" applyFill="1" applyBorder="1" applyAlignment="1">
      <alignment horizontal="left" vertical="center" wrapText="1"/>
    </xf>
    <xf numFmtId="3" fontId="48" fillId="2" borderId="1" xfId="6" applyNumberFormat="1" applyFont="1" applyFill="1" applyBorder="1" applyAlignment="1">
      <alignment horizontal="right" vertical="center"/>
    </xf>
    <xf numFmtId="3" fontId="51" fillId="2" borderId="1" xfId="6" applyNumberFormat="1" applyFont="1" applyFill="1" applyBorder="1" applyAlignment="1">
      <alignment horizontal="center" vertical="center"/>
    </xf>
    <xf numFmtId="9" fontId="51" fillId="2" borderId="1" xfId="12" applyFont="1" applyFill="1" applyBorder="1" applyAlignment="1" applyProtection="1">
      <alignment horizontal="center" vertical="center"/>
    </xf>
    <xf numFmtId="49" fontId="48" fillId="2" borderId="4" xfId="6" applyNumberFormat="1" applyFont="1" applyFill="1" applyBorder="1" applyAlignment="1">
      <alignment horizontal="center" vertical="center"/>
    </xf>
    <xf numFmtId="0" fontId="48" fillId="2" borderId="1" xfId="6" applyFont="1" applyFill="1" applyBorder="1" applyAlignment="1">
      <alignment horizontal="left" vertical="center" wrapText="1"/>
    </xf>
    <xf numFmtId="3" fontId="48" fillId="2" borderId="1" xfId="6" applyNumberFormat="1" applyFont="1" applyFill="1" applyBorder="1" applyAlignment="1" applyProtection="1">
      <alignment horizontal="right" vertical="center"/>
      <protection locked="0"/>
    </xf>
    <xf numFmtId="3" fontId="51" fillId="2" borderId="1" xfId="6" applyNumberFormat="1" applyFont="1" applyFill="1" applyBorder="1" applyAlignment="1" applyProtection="1">
      <alignment horizontal="center" vertical="center"/>
      <protection locked="0"/>
    </xf>
    <xf numFmtId="49" fontId="48" fillId="2" borderId="1" xfId="6" applyNumberFormat="1" applyFont="1" applyFill="1" applyBorder="1" applyAlignment="1" applyProtection="1">
      <alignment horizontal="left" vertical="center"/>
      <protection locked="0"/>
    </xf>
    <xf numFmtId="3" fontId="48" fillId="2" borderId="1" xfId="1" applyNumberFormat="1" applyFont="1" applyFill="1" applyBorder="1" applyAlignment="1">
      <alignment horizontal="left" vertical="center" wrapText="1"/>
    </xf>
    <xf numFmtId="49" fontId="48" fillId="2" borderId="26" xfId="6" applyNumberFormat="1" applyFont="1" applyFill="1" applyBorder="1" applyAlignment="1">
      <alignment horizontal="left" vertical="center"/>
    </xf>
    <xf numFmtId="49" fontId="47" fillId="0" borderId="26" xfId="0" applyNumberFormat="1" applyFont="1" applyBorder="1" applyAlignment="1">
      <alignment horizontal="left" vertical="center"/>
    </xf>
    <xf numFmtId="0" fontId="48" fillId="0" borderId="1" xfId="0" applyFont="1" applyBorder="1" applyAlignment="1">
      <alignment vertical="center" wrapText="1"/>
    </xf>
    <xf numFmtId="3" fontId="51" fillId="0" borderId="1"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left" vertical="center"/>
      <protection locked="0"/>
    </xf>
    <xf numFmtId="49" fontId="47" fillId="0" borderId="1" xfId="0" applyNumberFormat="1" applyFont="1" applyBorder="1" applyAlignment="1" applyProtection="1">
      <alignment horizontal="left" vertical="center"/>
      <protection locked="0"/>
    </xf>
    <xf numFmtId="3" fontId="48" fillId="0" borderId="1" xfId="0" applyNumberFormat="1" applyFont="1" applyBorder="1" applyAlignment="1">
      <alignment horizontal="right" vertical="center"/>
    </xf>
    <xf numFmtId="3" fontId="51" fillId="0" borderId="1" xfId="0" applyNumberFormat="1" applyFont="1" applyBorder="1" applyAlignment="1">
      <alignment horizontal="center" vertical="center"/>
    </xf>
    <xf numFmtId="9" fontId="51" fillId="0" borderId="1" xfId="12" applyFont="1" applyFill="1" applyBorder="1" applyAlignment="1" applyProtection="1">
      <alignment horizontal="center" vertical="center"/>
    </xf>
    <xf numFmtId="0" fontId="48" fillId="2" borderId="1" xfId="0" applyFont="1" applyFill="1" applyBorder="1" applyAlignment="1">
      <alignment horizontal="center" vertical="center"/>
    </xf>
    <xf numFmtId="0" fontId="48" fillId="2" borderId="1" xfId="0" applyFont="1" applyFill="1" applyBorder="1" applyAlignment="1">
      <alignment horizontal="left" vertical="center" wrapText="1" indent="3"/>
    </xf>
    <xf numFmtId="3" fontId="48" fillId="2" borderId="1" xfId="0" applyNumberFormat="1" applyFont="1" applyFill="1" applyBorder="1" applyAlignment="1">
      <alignment horizontal="right" vertical="center"/>
    </xf>
    <xf numFmtId="3" fontId="51" fillId="2" borderId="1" xfId="0" applyNumberFormat="1" applyFont="1" applyFill="1" applyBorder="1" applyAlignment="1">
      <alignment horizontal="center" vertical="center"/>
    </xf>
    <xf numFmtId="49" fontId="47" fillId="0" borderId="4" xfId="0" applyNumberFormat="1" applyFont="1" applyBorder="1" applyAlignment="1">
      <alignment horizontal="center" vertical="center"/>
    </xf>
    <xf numFmtId="49" fontId="47" fillId="0" borderId="1" xfId="0" applyNumberFormat="1" applyFont="1" applyBorder="1" applyAlignment="1">
      <alignment vertical="center"/>
    </xf>
    <xf numFmtId="0" fontId="48" fillId="0" borderId="1" xfId="6" applyFont="1" applyBorder="1" applyAlignment="1">
      <alignment horizontal="center" vertical="center"/>
    </xf>
    <xf numFmtId="16" fontId="48" fillId="0" borderId="1" xfId="6" applyNumberFormat="1" applyFont="1" applyBorder="1" applyAlignment="1">
      <alignment vertical="center" wrapText="1"/>
    </xf>
    <xf numFmtId="3" fontId="48" fillId="0" borderId="1" xfId="6" applyNumberFormat="1" applyFont="1" applyBorder="1" applyAlignment="1" applyProtection="1">
      <alignment horizontal="right" vertical="center"/>
      <protection locked="0"/>
    </xf>
    <xf numFmtId="3" fontId="51" fillId="0" borderId="1" xfId="6" applyNumberFormat="1" applyFont="1" applyBorder="1" applyAlignment="1" applyProtection="1">
      <alignment horizontal="center" vertical="center"/>
      <protection locked="0"/>
    </xf>
    <xf numFmtId="49" fontId="47" fillId="0" borderId="1" xfId="6" applyNumberFormat="1" applyFont="1" applyBorder="1" applyAlignment="1" applyProtection="1">
      <alignment horizontal="left" vertical="center"/>
      <protection locked="0"/>
    </xf>
    <xf numFmtId="49" fontId="47" fillId="0" borderId="4" xfId="6" applyNumberFormat="1" applyFont="1" applyBorder="1" applyAlignment="1">
      <alignment horizontal="center" vertical="center" wrapText="1"/>
    </xf>
    <xf numFmtId="0" fontId="48" fillId="0" borderId="1" xfId="6" applyFont="1" applyBorder="1" applyAlignment="1">
      <alignment horizontal="center" vertical="center" wrapText="1"/>
    </xf>
    <xf numFmtId="49" fontId="48" fillId="0" borderId="1" xfId="6" applyNumberFormat="1" applyFont="1" applyBorder="1" applyAlignment="1" applyProtection="1">
      <alignment horizontal="left" vertical="center"/>
      <protection locked="0"/>
    </xf>
    <xf numFmtId="0" fontId="47" fillId="0" borderId="1" xfId="6" applyFont="1" applyBorder="1" applyAlignment="1">
      <alignment horizontal="center" vertical="center"/>
    </xf>
    <xf numFmtId="49" fontId="47" fillId="0" borderId="1" xfId="6" applyNumberFormat="1" applyFont="1" applyBorder="1" applyAlignment="1">
      <alignment horizontal="left" vertical="center" wrapText="1"/>
    </xf>
    <xf numFmtId="3" fontId="47" fillId="0" borderId="1" xfId="6" applyNumberFormat="1" applyFont="1" applyBorder="1" applyAlignment="1" applyProtection="1">
      <alignment horizontal="right" vertical="center"/>
      <protection locked="0"/>
    </xf>
    <xf numFmtId="3" fontId="47" fillId="0" borderId="1" xfId="6" applyNumberFormat="1" applyFont="1" applyBorder="1" applyAlignment="1" applyProtection="1">
      <alignment horizontal="right" vertical="center" wrapText="1"/>
      <protection locked="0"/>
    </xf>
    <xf numFmtId="3" fontId="54" fillId="0" borderId="1" xfId="6" applyNumberFormat="1" applyFont="1" applyBorder="1" applyAlignment="1" applyProtection="1">
      <alignment horizontal="center" vertical="center"/>
      <protection locked="0"/>
    </xf>
    <xf numFmtId="9" fontId="54" fillId="0" borderId="1" xfId="12" applyFont="1" applyFill="1" applyBorder="1" applyAlignment="1" applyProtection="1">
      <alignment horizontal="center" vertical="center"/>
      <protection locked="0"/>
    </xf>
    <xf numFmtId="0" fontId="56" fillId="0" borderId="1" xfId="6" applyFont="1" applyBorder="1" applyAlignment="1">
      <alignment horizontal="center" vertical="center" wrapText="1"/>
    </xf>
    <xf numFmtId="49" fontId="56" fillId="0" borderId="1" xfId="6" applyNumberFormat="1" applyFont="1" applyBorder="1" applyAlignment="1">
      <alignment horizontal="left" vertical="center" wrapText="1"/>
    </xf>
    <xf numFmtId="3" fontId="56" fillId="0" borderId="1" xfId="6" applyNumberFormat="1" applyFont="1" applyBorder="1" applyAlignment="1" applyProtection="1">
      <alignment horizontal="right" vertical="center" wrapText="1"/>
      <protection locked="0"/>
    </xf>
    <xf numFmtId="0" fontId="47" fillId="28" borderId="1" xfId="6" applyFont="1" applyFill="1" applyBorder="1" applyAlignment="1">
      <alignment horizontal="center" vertical="center"/>
    </xf>
    <xf numFmtId="3" fontId="47" fillId="28" borderId="1" xfId="6" applyNumberFormat="1" applyFont="1" applyFill="1" applyBorder="1" applyAlignment="1" applyProtection="1">
      <alignment horizontal="right" vertical="center"/>
      <protection locked="0"/>
    </xf>
    <xf numFmtId="3" fontId="47" fillId="28" borderId="1" xfId="6" applyNumberFormat="1" applyFont="1" applyFill="1" applyBorder="1" applyAlignment="1">
      <alignment horizontal="right" vertical="center" wrapText="1"/>
    </xf>
    <xf numFmtId="3" fontId="47" fillId="28" borderId="1" xfId="6" applyNumberFormat="1" applyFont="1" applyFill="1" applyBorder="1" applyAlignment="1">
      <alignment horizontal="right" vertical="center"/>
    </xf>
    <xf numFmtId="3" fontId="54" fillId="28" borderId="1" xfId="6" applyNumberFormat="1" applyFont="1" applyFill="1" applyBorder="1" applyAlignment="1">
      <alignment horizontal="center" vertical="center"/>
    </xf>
    <xf numFmtId="3" fontId="54" fillId="28" borderId="1" xfId="6" applyNumberFormat="1" applyFont="1" applyFill="1" applyBorder="1" applyAlignment="1">
      <alignment horizontal="center" vertical="center" wrapText="1"/>
    </xf>
    <xf numFmtId="9" fontId="54" fillId="28" borderId="1" xfId="12" applyFont="1" applyFill="1" applyBorder="1" applyAlignment="1" applyProtection="1">
      <alignment horizontal="center" vertical="center" wrapText="1"/>
    </xf>
    <xf numFmtId="0" fontId="47" fillId="28" borderId="1" xfId="6" applyFont="1" applyFill="1" applyBorder="1" applyAlignment="1">
      <alignment vertical="center" wrapText="1"/>
    </xf>
    <xf numFmtId="0" fontId="47" fillId="28" borderId="1" xfId="0" applyFont="1" applyFill="1" applyBorder="1" applyAlignment="1">
      <alignment horizontal="center" vertical="center"/>
    </xf>
    <xf numFmtId="0" fontId="47" fillId="28" borderId="1" xfId="0" applyFont="1" applyFill="1" applyBorder="1" applyAlignment="1">
      <alignment vertical="center" wrapText="1"/>
    </xf>
    <xf numFmtId="3" fontId="47" fillId="28" borderId="1" xfId="0" applyNumberFormat="1" applyFont="1" applyFill="1" applyBorder="1" applyAlignment="1">
      <alignment horizontal="right" vertical="center"/>
    </xf>
    <xf numFmtId="3" fontId="54" fillId="28" borderId="1" xfId="0" applyNumberFormat="1" applyFont="1" applyFill="1" applyBorder="1" applyAlignment="1">
      <alignment horizontal="center" vertical="center"/>
    </xf>
    <xf numFmtId="3" fontId="47" fillId="28" borderId="1" xfId="6" applyNumberFormat="1" applyFont="1" applyFill="1" applyBorder="1" applyAlignment="1">
      <alignment vertical="center" wrapText="1"/>
    </xf>
    <xf numFmtId="0" fontId="47" fillId="28" borderId="4" xfId="6" applyFont="1" applyFill="1" applyBorder="1" applyAlignment="1">
      <alignment horizontal="center" vertical="center"/>
    </xf>
    <xf numFmtId="0" fontId="47" fillId="28" borderId="4" xfId="6" applyFont="1" applyFill="1" applyBorder="1" applyAlignment="1">
      <alignment vertical="center" wrapText="1"/>
    </xf>
    <xf numFmtId="3" fontId="47" fillId="28" borderId="4" xfId="6" applyNumberFormat="1" applyFont="1" applyFill="1" applyBorder="1" applyAlignment="1">
      <alignment horizontal="right" vertical="center" wrapText="1"/>
    </xf>
    <xf numFmtId="3" fontId="54" fillId="28" borderId="4" xfId="6" applyNumberFormat="1" applyFont="1" applyFill="1" applyBorder="1" applyAlignment="1">
      <alignment horizontal="center" vertical="center" wrapText="1"/>
    </xf>
    <xf numFmtId="0" fontId="47" fillId="28" borderId="6" xfId="6" applyFont="1" applyFill="1" applyBorder="1" applyAlignment="1">
      <alignment horizontal="center" vertical="center"/>
    </xf>
    <xf numFmtId="16" fontId="47" fillId="28" borderId="6" xfId="6" applyNumberFormat="1" applyFont="1" applyFill="1" applyBorder="1" applyAlignment="1">
      <alignment vertical="center" wrapText="1"/>
    </xf>
    <xf numFmtId="3" fontId="47" fillId="28" borderId="6" xfId="6" applyNumberFormat="1" applyFont="1" applyFill="1" applyBorder="1" applyAlignment="1">
      <alignment horizontal="right" vertical="center" wrapText="1"/>
    </xf>
    <xf numFmtId="3" fontId="54" fillId="28" borderId="6" xfId="6" applyNumberFormat="1" applyFont="1" applyFill="1" applyBorder="1" applyAlignment="1">
      <alignment horizontal="center" vertical="center" wrapText="1"/>
    </xf>
    <xf numFmtId="0" fontId="47" fillId="28" borderId="1" xfId="6" applyFont="1" applyFill="1" applyBorder="1" applyAlignment="1">
      <alignment horizontal="center" vertical="center" wrapText="1"/>
    </xf>
    <xf numFmtId="49" fontId="47" fillId="28" borderId="1" xfId="6" applyNumberFormat="1" applyFont="1" applyFill="1" applyBorder="1" applyAlignment="1">
      <alignment horizontal="left" vertical="center" wrapText="1"/>
    </xf>
    <xf numFmtId="49" fontId="47" fillId="0" borderId="1" xfId="6" applyNumberFormat="1" applyFont="1" applyBorder="1" applyAlignment="1">
      <alignment horizontal="center" vertical="center" wrapText="1"/>
    </xf>
    <xf numFmtId="3" fontId="48" fillId="2" borderId="1" xfId="0" applyNumberFormat="1" applyFont="1" applyFill="1" applyBorder="1" applyAlignment="1" applyProtection="1">
      <alignment horizontal="right" vertical="center" wrapText="1"/>
      <protection locked="0"/>
    </xf>
    <xf numFmtId="3" fontId="51" fillId="2" borderId="1" xfId="0" applyNumberFormat="1" applyFont="1" applyFill="1" applyBorder="1" applyAlignment="1">
      <alignment horizontal="center" vertical="center" wrapText="1"/>
    </xf>
    <xf numFmtId="166" fontId="51" fillId="2" borderId="1" xfId="12" applyNumberFormat="1" applyFont="1" applyFill="1" applyBorder="1" applyAlignment="1" applyProtection="1">
      <alignment horizontal="center" vertical="center" wrapText="1"/>
    </xf>
    <xf numFmtId="3" fontId="48" fillId="0" borderId="1" xfId="0" applyNumberFormat="1" applyFont="1" applyBorder="1" applyAlignment="1">
      <alignment horizontal="left" vertical="center" wrapText="1"/>
    </xf>
    <xf numFmtId="3" fontId="48" fillId="0" borderId="1" xfId="0" applyNumberFormat="1" applyFont="1" applyBorder="1" applyAlignment="1" applyProtection="1">
      <alignment horizontal="right" vertical="center" wrapText="1"/>
      <protection locked="0"/>
    </xf>
    <xf numFmtId="49" fontId="47" fillId="2" borderId="1" xfId="0" applyNumberFormat="1" applyFont="1" applyFill="1" applyBorder="1" applyAlignment="1">
      <alignment horizontal="center" vertical="center"/>
    </xf>
    <xf numFmtId="3" fontId="47" fillId="2" borderId="1" xfId="0" applyNumberFormat="1" applyFont="1" applyFill="1" applyBorder="1" applyAlignment="1">
      <alignment horizontal="left" vertical="center" wrapText="1"/>
    </xf>
    <xf numFmtId="3" fontId="47" fillId="2" borderId="1" xfId="0" applyNumberFormat="1" applyFont="1" applyFill="1" applyBorder="1" applyAlignment="1" applyProtection="1">
      <alignment horizontal="right" vertical="center" wrapText="1"/>
      <protection locked="0"/>
    </xf>
    <xf numFmtId="3" fontId="54" fillId="2" borderId="1" xfId="0" applyNumberFormat="1" applyFont="1" applyFill="1" applyBorder="1" applyAlignment="1">
      <alignment horizontal="center" vertical="center" wrapText="1"/>
    </xf>
    <xf numFmtId="166" fontId="54" fillId="2" borderId="1" xfId="12" applyNumberFormat="1" applyFont="1" applyFill="1" applyBorder="1" applyAlignment="1" applyProtection="1">
      <alignment horizontal="center" vertical="center" wrapText="1"/>
    </xf>
    <xf numFmtId="3" fontId="54" fillId="0" borderId="1" xfId="0" applyNumberFormat="1" applyFont="1" applyBorder="1" applyAlignment="1" applyProtection="1">
      <alignment horizontal="left" vertical="center" wrapText="1"/>
      <protection locked="0"/>
    </xf>
    <xf numFmtId="3" fontId="47" fillId="2" borderId="1" xfId="1" applyNumberFormat="1" applyFont="1" applyFill="1" applyBorder="1" applyAlignment="1">
      <alignment horizontal="left" vertical="center" wrapText="1"/>
    </xf>
    <xf numFmtId="3" fontId="47" fillId="2" borderId="1" xfId="1" applyNumberFormat="1" applyFont="1" applyFill="1" applyBorder="1" applyAlignment="1" applyProtection="1">
      <alignment horizontal="right" vertical="center" wrapText="1"/>
      <protection locked="0"/>
    </xf>
    <xf numFmtId="49" fontId="47" fillId="0" borderId="1" xfId="0" applyNumberFormat="1" applyFont="1" applyBorder="1" applyAlignment="1">
      <alignment horizontal="center" vertical="center"/>
    </xf>
    <xf numFmtId="3" fontId="47" fillId="0" borderId="1" xfId="1" applyNumberFormat="1" applyFont="1" applyBorder="1" applyAlignment="1">
      <alignment horizontal="left" vertical="center" wrapText="1"/>
    </xf>
    <xf numFmtId="3" fontId="47" fillId="0" borderId="1" xfId="1" applyNumberFormat="1" applyFont="1" applyBorder="1" applyAlignment="1" applyProtection="1">
      <alignment horizontal="right" vertical="center" wrapText="1"/>
      <protection locked="0"/>
    </xf>
    <xf numFmtId="3" fontId="47" fillId="0" borderId="1" xfId="0" applyNumberFormat="1" applyFont="1" applyBorder="1" applyAlignment="1" applyProtection="1">
      <alignment horizontal="right" vertical="center" wrapText="1"/>
      <protection locked="0"/>
    </xf>
    <xf numFmtId="3" fontId="54" fillId="0" borderId="1" xfId="0" applyNumberFormat="1" applyFont="1" applyBorder="1" applyAlignment="1">
      <alignment horizontal="center" vertical="center" wrapText="1"/>
    </xf>
    <xf numFmtId="166" fontId="54"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center" vertical="center"/>
    </xf>
    <xf numFmtId="0" fontId="47" fillId="2" borderId="1" xfId="0" applyFont="1" applyFill="1" applyBorder="1" applyAlignment="1">
      <alignment vertical="center" wrapText="1"/>
    </xf>
    <xf numFmtId="0" fontId="48" fillId="2" borderId="1" xfId="0" applyFont="1" applyFill="1" applyBorder="1" applyAlignment="1">
      <alignment horizontal="right" vertical="center" wrapText="1"/>
    </xf>
    <xf numFmtId="0" fontId="48" fillId="2" borderId="1" xfId="0" applyFont="1" applyFill="1" applyBorder="1" applyAlignment="1">
      <alignment vertical="center" wrapText="1"/>
    </xf>
    <xf numFmtId="0" fontId="48" fillId="2" borderId="1" xfId="0" applyFont="1" applyFill="1" applyBorder="1" applyAlignment="1" applyProtection="1">
      <alignment horizontal="right" vertical="center" wrapText="1"/>
      <protection locked="0"/>
    </xf>
    <xf numFmtId="0" fontId="48" fillId="2" borderId="1" xfId="0" applyFont="1" applyFill="1" applyBorder="1" applyAlignment="1">
      <alignment horizontal="left" vertical="center" wrapText="1"/>
    </xf>
    <xf numFmtId="3" fontId="51" fillId="0" borderId="1" xfId="0" applyNumberFormat="1" applyFont="1" applyBorder="1" applyAlignment="1">
      <alignment horizontal="center" vertical="center" wrapText="1"/>
    </xf>
    <xf numFmtId="166" fontId="51"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left" vertical="center" wrapText="1"/>
    </xf>
    <xf numFmtId="0" fontId="47" fillId="2" borderId="1" xfId="0" applyFont="1" applyFill="1" applyBorder="1" applyAlignment="1" applyProtection="1">
      <alignment horizontal="right" vertical="center" wrapText="1"/>
      <protection locked="0"/>
    </xf>
    <xf numFmtId="3" fontId="51" fillId="0" borderId="1" xfId="0" applyNumberFormat="1" applyFont="1" applyBorder="1" applyAlignment="1" applyProtection="1">
      <alignment horizontal="left" vertical="center" wrapText="1"/>
      <protection locked="0"/>
    </xf>
    <xf numFmtId="0" fontId="47" fillId="2" borderId="1" xfId="0" applyFont="1" applyFill="1" applyBorder="1" applyAlignment="1">
      <alignment horizontal="left" vertical="center"/>
    </xf>
    <xf numFmtId="0" fontId="48" fillId="0" borderId="1" xfId="0" applyFont="1" applyBorder="1" applyAlignment="1">
      <alignment horizontal="left" vertical="center" wrapText="1"/>
    </xf>
    <xf numFmtId="0" fontId="47" fillId="0" borderId="1" xfId="0" applyFont="1" applyBorder="1" applyAlignment="1">
      <alignment horizontal="right" vertical="center" wrapText="1"/>
    </xf>
    <xf numFmtId="0" fontId="54" fillId="0" borderId="1" xfId="0" applyFont="1" applyBorder="1" applyAlignment="1">
      <alignment horizontal="center" vertical="center" wrapText="1"/>
    </xf>
    <xf numFmtId="0" fontId="48" fillId="0" borderId="1" xfId="0" applyFont="1" applyBorder="1" applyAlignment="1" applyProtection="1">
      <alignment horizontal="right" vertical="center" wrapText="1"/>
      <protection locked="0"/>
    </xf>
    <xf numFmtId="3" fontId="54" fillId="0" borderId="1" xfId="0" applyNumberFormat="1" applyFont="1" applyBorder="1" applyAlignment="1">
      <alignment vertical="center" wrapText="1"/>
    </xf>
    <xf numFmtId="49" fontId="48" fillId="2" borderId="1" xfId="1" applyNumberFormat="1" applyFont="1" applyFill="1" applyBorder="1" applyAlignment="1">
      <alignment horizontal="center" vertical="center"/>
    </xf>
    <xf numFmtId="3" fontId="48" fillId="0" borderId="1" xfId="0" applyNumberFormat="1" applyFont="1" applyBorder="1" applyAlignment="1">
      <alignment vertical="center"/>
    </xf>
    <xf numFmtId="3" fontId="48" fillId="0" borderId="1" xfId="0" applyNumberFormat="1" applyFont="1" applyBorder="1" applyAlignment="1">
      <alignment vertical="center" wrapText="1"/>
    </xf>
    <xf numFmtId="3" fontId="47" fillId="28" borderId="1" xfId="0" applyNumberFormat="1" applyFont="1" applyFill="1" applyBorder="1" applyAlignment="1">
      <alignment horizontal="right" vertical="center" wrapText="1"/>
    </xf>
    <xf numFmtId="3" fontId="54" fillId="28" borderId="1" xfId="0" applyNumberFormat="1" applyFont="1" applyFill="1" applyBorder="1" applyAlignment="1">
      <alignment horizontal="center" vertical="center" wrapText="1"/>
    </xf>
    <xf numFmtId="166" fontId="54" fillId="28" borderId="1" xfId="12" applyNumberFormat="1" applyFont="1" applyFill="1" applyBorder="1" applyAlignment="1" applyProtection="1">
      <alignment horizontal="center" vertical="center" wrapText="1"/>
    </xf>
    <xf numFmtId="49" fontId="47" fillId="28" borderId="1" xfId="0" applyNumberFormat="1" applyFont="1" applyFill="1" applyBorder="1" applyAlignment="1">
      <alignment horizontal="center" vertical="center"/>
    </xf>
    <xf numFmtId="3" fontId="47" fillId="28" borderId="1" xfId="0" applyNumberFormat="1" applyFont="1" applyFill="1" applyBorder="1" applyAlignment="1">
      <alignment horizontal="left" vertical="center" wrapText="1"/>
    </xf>
    <xf numFmtId="0" fontId="47" fillId="28" borderId="1" xfId="0" applyFont="1" applyFill="1" applyBorder="1" applyAlignment="1">
      <alignment horizontal="right" vertical="center" wrapText="1"/>
    </xf>
    <xf numFmtId="0" fontId="47" fillId="28" borderId="1" xfId="0" applyFont="1" applyFill="1" applyBorder="1" applyAlignment="1">
      <alignment horizontal="left" vertical="center" wrapText="1"/>
    </xf>
    <xf numFmtId="0" fontId="48" fillId="28" borderId="1" xfId="0" applyFont="1" applyFill="1" applyBorder="1" applyAlignment="1">
      <alignment horizontal="center" vertical="center"/>
    </xf>
    <xf numFmtId="3" fontId="54" fillId="0" borderId="4" xfId="0" applyNumberFormat="1" applyFont="1" applyBorder="1" applyAlignment="1">
      <alignment horizontal="center" vertical="center" wrapText="1"/>
    </xf>
    <xf numFmtId="0" fontId="48" fillId="0" borderId="0" xfId="1467" applyFont="1" applyAlignment="1">
      <alignment horizontal="left" vertical="center" wrapText="1"/>
    </xf>
    <xf numFmtId="3" fontId="48" fillId="0" borderId="0" xfId="0" applyNumberFormat="1" applyFont="1" applyAlignment="1">
      <alignment horizontal="left" vertical="center" wrapText="1"/>
    </xf>
    <xf numFmtId="3" fontId="57" fillId="28" borderId="1" xfId="0" applyNumberFormat="1" applyFont="1" applyFill="1" applyBorder="1" applyAlignment="1">
      <alignment horizontal="right" vertical="center" wrapText="1"/>
    </xf>
    <xf numFmtId="3" fontId="54" fillId="28" borderId="26" xfId="0" applyNumberFormat="1" applyFont="1" applyFill="1" applyBorder="1" applyAlignment="1">
      <alignment horizontal="left" vertical="center" wrapText="1"/>
    </xf>
    <xf numFmtId="0" fontId="47" fillId="28" borderId="1" xfId="0" applyFont="1" applyFill="1" applyBorder="1" applyAlignment="1">
      <alignment horizontal="center" vertical="center" wrapText="1"/>
    </xf>
    <xf numFmtId="0" fontId="47" fillId="28" borderId="1" xfId="1" applyFont="1" applyFill="1" applyBorder="1" applyAlignment="1">
      <alignment horizontal="center" vertical="center"/>
    </xf>
    <xf numFmtId="49" fontId="47" fillId="28" borderId="1" xfId="1" applyNumberFormat="1" applyFont="1" applyFill="1" applyBorder="1" applyAlignment="1">
      <alignment horizontal="center" vertical="center"/>
    </xf>
    <xf numFmtId="3" fontId="48" fillId="0" borderId="0" xfId="0" applyNumberFormat="1" applyFont="1" applyAlignment="1">
      <alignment horizontal="center" vertical="center"/>
    </xf>
    <xf numFmtId="9" fontId="51" fillId="28" borderId="1" xfId="12" applyFont="1" applyFill="1" applyBorder="1" applyAlignment="1" applyProtection="1">
      <alignment horizontal="center" vertical="center"/>
      <protection locked="0"/>
    </xf>
    <xf numFmtId="3" fontId="51" fillId="28" borderId="1" xfId="1467" applyNumberFormat="1" applyFont="1" applyFill="1" applyBorder="1" applyAlignment="1" applyProtection="1">
      <alignment horizontal="center" vertical="center"/>
      <protection locked="0"/>
    </xf>
    <xf numFmtId="49" fontId="48" fillId="28" borderId="1" xfId="1467" applyNumberFormat="1" applyFont="1" applyFill="1" applyBorder="1" applyAlignment="1" applyProtection="1">
      <alignment horizontal="center" vertical="center"/>
      <protection locked="0"/>
    </xf>
    <xf numFmtId="0" fontId="51" fillId="0" borderId="0" xfId="0" applyFont="1" applyAlignment="1">
      <alignment vertical="center"/>
    </xf>
    <xf numFmtId="0" fontId="54" fillId="0" borderId="0" xfId="0" applyFont="1" applyAlignment="1">
      <alignment vertical="center"/>
    </xf>
    <xf numFmtId="0" fontId="56" fillId="0" borderId="0" xfId="6" applyFont="1" applyAlignment="1">
      <alignment horizontal="center" vertical="center" wrapText="1"/>
    </xf>
    <xf numFmtId="49" fontId="56" fillId="0" borderId="0" xfId="6" applyNumberFormat="1" applyFont="1" applyAlignment="1">
      <alignment horizontal="left" vertical="center" wrapText="1"/>
    </xf>
    <xf numFmtId="3" fontId="47" fillId="0" borderId="0" xfId="6" applyNumberFormat="1" applyFont="1" applyAlignment="1" applyProtection="1">
      <alignment horizontal="right" vertical="center"/>
      <protection locked="0"/>
    </xf>
    <xf numFmtId="3" fontId="56" fillId="0" borderId="0" xfId="6" applyNumberFormat="1" applyFont="1" applyAlignment="1" applyProtection="1">
      <alignment horizontal="right" vertical="center" wrapText="1"/>
      <protection locked="0"/>
    </xf>
    <xf numFmtId="3" fontId="54" fillId="0" borderId="0" xfId="6" applyNumberFormat="1" applyFont="1" applyAlignment="1" applyProtection="1">
      <alignment horizontal="center" vertical="center"/>
      <protection locked="0"/>
    </xf>
    <xf numFmtId="9" fontId="54" fillId="0" borderId="0" xfId="12" applyFont="1" applyFill="1" applyBorder="1" applyAlignment="1" applyProtection="1">
      <alignment horizontal="center" vertical="center"/>
      <protection locked="0"/>
    </xf>
    <xf numFmtId="49" fontId="47" fillId="0" borderId="0" xfId="6" applyNumberFormat="1" applyFont="1" applyAlignment="1">
      <alignment horizontal="center" vertical="center"/>
    </xf>
    <xf numFmtId="0" fontId="48" fillId="0" borderId="0" xfId="0" applyFont="1" applyAlignment="1">
      <alignment horizontal="center" vertical="center"/>
    </xf>
    <xf numFmtId="0" fontId="48" fillId="0" borderId="0" xfId="0" applyFont="1" applyAlignment="1">
      <alignment horizontal="right" vertical="center"/>
    </xf>
    <xf numFmtId="3" fontId="48" fillId="0" borderId="1" xfId="1" applyNumberFormat="1" applyFont="1" applyBorder="1" applyAlignment="1">
      <alignment horizontal="center" vertical="center" wrapText="1"/>
    </xf>
    <xf numFmtId="0" fontId="48" fillId="0" borderId="1" xfId="6" applyFont="1" applyBorder="1" applyAlignment="1">
      <alignment horizontal="left" vertical="center" wrapText="1"/>
    </xf>
    <xf numFmtId="3" fontId="48" fillId="0" borderId="1" xfId="6" applyNumberFormat="1" applyFont="1" applyBorder="1" applyAlignment="1">
      <alignment horizontal="right" vertical="center" wrapText="1"/>
    </xf>
    <xf numFmtId="3" fontId="51" fillId="0" borderId="1" xfId="6" applyNumberFormat="1" applyFont="1" applyBorder="1" applyAlignment="1">
      <alignment horizontal="center" vertical="center" wrapText="1"/>
    </xf>
    <xf numFmtId="9" fontId="51" fillId="0" borderId="1" xfId="12" applyFont="1" applyFill="1" applyBorder="1" applyAlignment="1" applyProtection="1">
      <alignment horizontal="center"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48" fillId="4" borderId="10" xfId="0" applyFont="1" applyFill="1" applyBorder="1" applyAlignment="1">
      <alignment horizontal="center" vertical="center" wrapText="1"/>
    </xf>
    <xf numFmtId="0" fontId="48" fillId="4" borderId="10" xfId="0" applyFont="1" applyFill="1" applyBorder="1" applyAlignment="1">
      <alignment horizontal="left" vertical="center" wrapText="1"/>
    </xf>
    <xf numFmtId="3" fontId="48" fillId="0" borderId="1" xfId="6" applyNumberFormat="1" applyFont="1" applyBorder="1" applyAlignment="1" applyProtection="1">
      <alignment horizontal="right" vertical="center" wrapText="1"/>
      <protection locked="0"/>
    </xf>
    <xf numFmtId="0" fontId="48" fillId="4" borderId="11" xfId="0" applyFont="1" applyFill="1" applyBorder="1" applyAlignment="1">
      <alignment horizontal="center" vertical="center" wrapText="1"/>
    </xf>
    <xf numFmtId="0" fontId="48" fillId="4" borderId="11"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10" xfId="0" applyFont="1" applyBorder="1" applyAlignment="1">
      <alignment horizontal="left" vertical="center" wrapText="1"/>
    </xf>
    <xf numFmtId="3" fontId="48" fillId="0" borderId="0" xfId="6" applyNumberFormat="1" applyFont="1" applyAlignment="1">
      <alignment horizontal="left" vertical="center" wrapText="1"/>
    </xf>
    <xf numFmtId="3" fontId="48" fillId="0" borderId="0" xfId="6" applyNumberFormat="1" applyFont="1" applyAlignment="1">
      <alignment horizontal="right" vertical="center" wrapText="1"/>
    </xf>
    <xf numFmtId="3" fontId="48" fillId="0" borderId="0" xfId="0" applyNumberFormat="1" applyFont="1" applyAlignment="1">
      <alignment horizontal="right" vertical="center"/>
    </xf>
    <xf numFmtId="3" fontId="48" fillId="0" borderId="0" xfId="6" applyNumberFormat="1" applyFont="1" applyAlignment="1">
      <alignment horizontal="right" vertical="center"/>
    </xf>
    <xf numFmtId="3" fontId="51" fillId="0" borderId="0" xfId="0" applyNumberFormat="1" applyFont="1" applyAlignment="1">
      <alignment horizontal="center" vertical="center"/>
    </xf>
    <xf numFmtId="49" fontId="47" fillId="28" borderId="5" xfId="6" applyNumberFormat="1" applyFont="1" applyFill="1" applyBorder="1" applyAlignment="1">
      <alignment horizontal="center" vertical="center"/>
    </xf>
    <xf numFmtId="0" fontId="47" fillId="28" borderId="4" xfId="6" applyFont="1" applyFill="1" applyBorder="1" applyAlignment="1">
      <alignment horizontal="center" vertical="center" wrapText="1"/>
    </xf>
    <xf numFmtId="3" fontId="47" fillId="28" borderId="1" xfId="6" applyNumberFormat="1" applyFont="1" applyFill="1" applyBorder="1" applyAlignment="1">
      <alignment horizontal="center" vertical="center"/>
    </xf>
    <xf numFmtId="49" fontId="48" fillId="0" borderId="5" xfId="6" applyNumberFormat="1" applyFont="1" applyBorder="1" applyAlignment="1">
      <alignment horizontal="center" vertical="center"/>
    </xf>
    <xf numFmtId="0" fontId="48" fillId="0" borderId="4" xfId="6" applyFont="1" applyBorder="1" applyAlignment="1">
      <alignment vertical="center" wrapText="1"/>
    </xf>
    <xf numFmtId="3" fontId="48" fillId="0" borderId="4" xfId="6" applyNumberFormat="1" applyFont="1" applyBorder="1" applyAlignment="1">
      <alignment horizontal="right" vertical="center" wrapText="1"/>
    </xf>
    <xf numFmtId="49" fontId="51" fillId="2" borderId="1" xfId="12" applyNumberFormat="1" applyFont="1" applyFill="1" applyBorder="1" applyAlignment="1" applyProtection="1">
      <alignment horizontal="left" vertical="center"/>
    </xf>
    <xf numFmtId="0" fontId="48" fillId="0" borderId="1" xfId="0" applyFont="1" applyBorder="1" applyAlignment="1">
      <alignment horizontal="left" vertical="center" wrapText="1" indent="2" readingOrder="1"/>
    </xf>
    <xf numFmtId="3" fontId="48" fillId="0" borderId="1" xfId="0" applyNumberFormat="1" applyFont="1" applyBorder="1" applyAlignment="1">
      <alignment horizontal="right" vertical="center" wrapText="1"/>
    </xf>
    <xf numFmtId="49" fontId="48" fillId="0" borderId="5" xfId="6" applyNumberFormat="1" applyFont="1" applyBorder="1" applyAlignment="1">
      <alignment horizontal="right" vertical="center"/>
    </xf>
    <xf numFmtId="0" fontId="51" fillId="0" borderId="1" xfId="0" applyFont="1" applyBorder="1" applyAlignment="1">
      <alignment horizontal="left" vertical="center" wrapText="1" indent="4" readingOrder="1"/>
    </xf>
    <xf numFmtId="0" fontId="48" fillId="0" borderId="6" xfId="0" applyFont="1" applyBorder="1" applyAlignment="1">
      <alignment horizontal="left" vertical="center" wrapText="1" readingOrder="1"/>
    </xf>
    <xf numFmtId="3" fontId="48" fillId="0" borderId="2" xfId="0" applyNumberFormat="1" applyFont="1" applyBorder="1" applyAlignment="1">
      <alignment horizontal="right" vertical="center" wrapText="1"/>
    </xf>
    <xf numFmtId="3" fontId="51" fillId="0" borderId="2" xfId="0" applyNumberFormat="1" applyFont="1" applyBorder="1" applyAlignment="1">
      <alignment horizontal="center" vertical="center" wrapText="1"/>
    </xf>
    <xf numFmtId="3" fontId="48" fillId="0" borderId="2" xfId="12" applyNumberFormat="1" applyFont="1" applyFill="1" applyBorder="1" applyAlignment="1" applyProtection="1">
      <alignment horizontal="right" vertical="center" wrapText="1"/>
    </xf>
    <xf numFmtId="3" fontId="51" fillId="0" borderId="2" xfId="12" applyNumberFormat="1" applyFont="1" applyFill="1" applyBorder="1" applyAlignment="1" applyProtection="1">
      <alignment horizontal="center" vertical="center" wrapText="1"/>
    </xf>
    <xf numFmtId="3" fontId="48" fillId="0" borderId="2" xfId="0" applyNumberFormat="1" applyFont="1" applyBorder="1" applyAlignment="1" applyProtection="1">
      <alignment horizontal="right" vertical="center" wrapText="1"/>
      <protection locked="0"/>
    </xf>
    <xf numFmtId="3" fontId="51" fillId="0" borderId="2" xfId="0" applyNumberFormat="1" applyFont="1" applyBorder="1" applyAlignment="1" applyProtection="1">
      <alignment horizontal="center" vertical="center" wrapText="1"/>
      <protection locked="0"/>
    </xf>
    <xf numFmtId="3" fontId="47" fillId="28" borderId="3" xfId="6" applyNumberFormat="1" applyFont="1" applyFill="1" applyBorder="1" applyAlignment="1">
      <alignment horizontal="center" vertical="center"/>
    </xf>
    <xf numFmtId="3" fontId="54" fillId="28" borderId="3" xfId="6" applyNumberFormat="1" applyFont="1" applyFill="1" applyBorder="1" applyAlignment="1">
      <alignment horizontal="center" vertical="center"/>
    </xf>
    <xf numFmtId="49" fontId="48" fillId="2" borderId="1" xfId="6" applyNumberFormat="1" applyFont="1" applyFill="1" applyBorder="1" applyAlignment="1">
      <alignment horizontal="center" vertical="center"/>
    </xf>
    <xf numFmtId="3" fontId="48" fillId="2" borderId="6" xfId="6" applyNumberFormat="1" applyFont="1" applyFill="1" applyBorder="1" applyAlignment="1">
      <alignment vertical="center" wrapText="1"/>
    </xf>
    <xf numFmtId="3" fontId="48" fillId="2" borderId="6" xfId="6" applyNumberFormat="1" applyFont="1" applyFill="1" applyBorder="1" applyAlignment="1" applyProtection="1">
      <alignment horizontal="right" vertical="center" wrapText="1"/>
      <protection locked="0"/>
    </xf>
    <xf numFmtId="3" fontId="48" fillId="2" borderId="1" xfId="0" applyNumberFormat="1" applyFont="1" applyFill="1" applyBorder="1" applyAlignment="1" applyProtection="1">
      <alignment horizontal="right" vertical="center"/>
      <protection locked="0"/>
    </xf>
    <xf numFmtId="3" fontId="51" fillId="2" borderId="1" xfId="0" applyNumberFormat="1" applyFont="1" applyFill="1" applyBorder="1" applyAlignment="1" applyProtection="1">
      <alignment horizontal="center" vertical="center"/>
      <protection locked="0"/>
    </xf>
    <xf numFmtId="3" fontId="48" fillId="2" borderId="1" xfId="6" applyNumberFormat="1" applyFont="1" applyFill="1" applyBorder="1" applyAlignment="1" applyProtection="1">
      <alignment horizontal="right" vertical="center" wrapText="1"/>
      <protection locked="0"/>
    </xf>
    <xf numFmtId="49" fontId="48" fillId="0" borderId="1" xfId="6" applyNumberFormat="1" applyFont="1" applyBorder="1" applyAlignment="1">
      <alignment horizontal="center" vertical="center"/>
    </xf>
    <xf numFmtId="49" fontId="51" fillId="0" borderId="1" xfId="12" applyNumberFormat="1" applyFont="1" applyFill="1" applyBorder="1" applyAlignment="1" applyProtection="1">
      <alignment horizontal="left" vertical="center"/>
    </xf>
    <xf numFmtId="3" fontId="48" fillId="2" borderId="6" xfId="6" applyNumberFormat="1" applyFont="1" applyFill="1" applyBorder="1" applyAlignment="1">
      <alignment horizontal="left" vertical="center" wrapText="1"/>
    </xf>
    <xf numFmtId="49" fontId="48" fillId="2" borderId="1" xfId="6" applyNumberFormat="1" applyFont="1" applyFill="1" applyBorder="1" applyAlignment="1">
      <alignment horizontal="right" vertical="center"/>
    </xf>
    <xf numFmtId="3" fontId="51" fillId="2" borderId="6" xfId="6" applyNumberFormat="1" applyFont="1" applyFill="1" applyBorder="1" applyAlignment="1">
      <alignment horizontal="left" vertical="center" wrapText="1" indent="2"/>
    </xf>
    <xf numFmtId="3" fontId="48" fillId="0" borderId="6" xfId="0" applyNumberFormat="1" applyFont="1" applyBorder="1" applyAlignment="1" applyProtection="1">
      <alignment horizontal="right" vertical="center" wrapText="1"/>
      <protection locked="0"/>
    </xf>
    <xf numFmtId="49" fontId="47" fillId="28" borderId="1" xfId="6" applyNumberFormat="1" applyFont="1" applyFill="1" applyBorder="1" applyAlignment="1">
      <alignment horizontal="center" vertical="center"/>
    </xf>
    <xf numFmtId="3" fontId="51" fillId="2" borderId="1" xfId="6" applyNumberFormat="1" applyFont="1" applyFill="1" applyBorder="1" applyAlignment="1">
      <alignment horizontal="left" vertical="center" wrapText="1" indent="2"/>
    </xf>
    <xf numFmtId="49" fontId="48" fillId="2" borderId="5" xfId="6" applyNumberFormat="1" applyFont="1" applyFill="1" applyBorder="1" applyAlignment="1">
      <alignment horizontal="center" vertical="center"/>
    </xf>
    <xf numFmtId="3" fontId="51" fillId="0" borderId="4" xfId="6" applyNumberFormat="1" applyFont="1" applyBorder="1" applyAlignment="1">
      <alignment horizontal="left" vertical="center" wrapText="1" indent="2"/>
    </xf>
    <xf numFmtId="3" fontId="48" fillId="0" borderId="9" xfId="6" applyNumberFormat="1" applyFont="1" applyBorder="1" applyAlignment="1" applyProtection="1">
      <alignment horizontal="right" vertical="center" wrapText="1"/>
      <protection locked="0"/>
    </xf>
    <xf numFmtId="3" fontId="48" fillId="2" borderId="3" xfId="0" applyNumberFormat="1" applyFont="1" applyFill="1" applyBorder="1" applyAlignment="1" applyProtection="1">
      <alignment horizontal="right" vertical="center"/>
      <protection locked="0"/>
    </xf>
    <xf numFmtId="9" fontId="51" fillId="2" borderId="3" xfId="12" applyFont="1" applyFill="1" applyBorder="1" applyAlignment="1" applyProtection="1">
      <alignment horizontal="center" vertical="center"/>
    </xf>
    <xf numFmtId="0" fontId="48" fillId="0" borderId="1" xfId="0" applyFont="1" applyBorder="1" applyAlignment="1">
      <alignment horizontal="left" vertical="center" wrapText="1" readingOrder="1"/>
    </xf>
    <xf numFmtId="49" fontId="54" fillId="28" borderId="1" xfId="12" applyNumberFormat="1" applyFont="1" applyFill="1" applyBorder="1" applyAlignment="1" applyProtection="1">
      <alignment horizontal="left" vertical="center" wrapText="1"/>
    </xf>
    <xf numFmtId="0" fontId="48" fillId="2" borderId="1" xfId="6" applyFont="1" applyFill="1" applyBorder="1" applyAlignment="1">
      <alignment vertical="center"/>
    </xf>
    <xf numFmtId="3" fontId="57" fillId="28" borderId="1" xfId="6" applyNumberFormat="1" applyFont="1" applyFill="1" applyBorder="1" applyAlignment="1">
      <alignment vertical="center" wrapText="1"/>
    </xf>
    <xf numFmtId="0" fontId="47" fillId="28" borderId="3" xfId="6" applyFont="1" applyFill="1" applyBorder="1" applyAlignment="1">
      <alignment horizontal="center" vertical="center" wrapText="1"/>
    </xf>
    <xf numFmtId="3" fontId="48" fillId="2" borderId="3" xfId="6" applyNumberFormat="1" applyFont="1" applyFill="1" applyBorder="1" applyAlignment="1" applyProtection="1">
      <alignment horizontal="right" vertical="center" wrapText="1"/>
      <protection locked="0"/>
    </xf>
    <xf numFmtId="3" fontId="48" fillId="2" borderId="3" xfId="6" applyNumberFormat="1" applyFont="1" applyFill="1" applyBorder="1" applyAlignment="1" applyProtection="1">
      <alignment horizontal="right" vertical="center"/>
      <protection locked="0"/>
    </xf>
    <xf numFmtId="3" fontId="51" fillId="0" borderId="1" xfId="6" applyNumberFormat="1" applyFont="1" applyBorder="1" applyAlignment="1">
      <alignment horizontal="left" vertical="center" wrapText="1" indent="2"/>
    </xf>
    <xf numFmtId="49" fontId="48" fillId="0" borderId="0" xfId="6" applyNumberFormat="1" applyFont="1" applyAlignment="1">
      <alignment horizontal="center" vertical="center"/>
    </xf>
    <xf numFmtId="0" fontId="48" fillId="0" borderId="0" xfId="0" applyFont="1" applyAlignment="1">
      <alignment vertical="center" wrapText="1"/>
    </xf>
    <xf numFmtId="0" fontId="48" fillId="0" borderId="0" xfId="6" applyFont="1"/>
    <xf numFmtId="0" fontId="60" fillId="0" borderId="0" xfId="0" applyFont="1" applyAlignment="1">
      <alignment horizontal="center" vertical="center" wrapText="1"/>
    </xf>
    <xf numFmtId="0" fontId="60" fillId="0" borderId="0" xfId="0" applyFont="1" applyAlignment="1">
      <alignment horizontal="left" vertical="center" wrapText="1"/>
    </xf>
    <xf numFmtId="3" fontId="48" fillId="0" borderId="0" xfId="6" applyNumberFormat="1" applyFont="1"/>
    <xf numFmtId="0" fontId="48" fillId="0" borderId="0" xfId="6" applyFont="1" applyAlignment="1">
      <alignment horizontal="left" vertical="center" wrapText="1"/>
    </xf>
    <xf numFmtId="0" fontId="48" fillId="0" borderId="0" xfId="6" applyFont="1" applyAlignment="1">
      <alignment horizontal="left" vertical="center"/>
    </xf>
    <xf numFmtId="0" fontId="48" fillId="0" borderId="0" xfId="1" applyFont="1" applyAlignment="1">
      <alignment vertical="center" wrapText="1"/>
    </xf>
    <xf numFmtId="49" fontId="47" fillId="28" borderId="1" xfId="5" applyNumberFormat="1" applyFont="1" applyFill="1" applyBorder="1" applyAlignment="1">
      <alignment horizontal="center" vertical="center" wrapText="1"/>
    </xf>
    <xf numFmtId="49" fontId="48" fillId="0" borderId="1" xfId="5" applyNumberFormat="1" applyFont="1" applyBorder="1" applyAlignment="1">
      <alignment horizontal="center" vertical="center" wrapText="1"/>
    </xf>
    <xf numFmtId="3" fontId="49" fillId="0" borderId="1" xfId="0" applyNumberFormat="1" applyFont="1" applyBorder="1" applyAlignment="1" applyProtection="1">
      <alignment vertical="center" wrapText="1"/>
      <protection locked="0"/>
    </xf>
    <xf numFmtId="3" fontId="49" fillId="0" borderId="1" xfId="7" applyNumberFormat="1" applyFont="1" applyBorder="1" applyAlignment="1" applyProtection="1">
      <alignment vertical="center" wrapText="1"/>
      <protection locked="0"/>
    </xf>
    <xf numFmtId="3" fontId="48" fillId="0" borderId="1" xfId="5" applyNumberFormat="1" applyFont="1" applyBorder="1" applyAlignment="1" applyProtection="1">
      <alignment vertical="center" wrapText="1"/>
      <protection locked="0"/>
    </xf>
    <xf numFmtId="3" fontId="50" fillId="0" borderId="1" xfId="0" applyNumberFormat="1" applyFont="1" applyBorder="1" applyAlignment="1" applyProtection="1">
      <alignment vertical="center" wrapText="1"/>
      <protection locked="0"/>
    </xf>
    <xf numFmtId="3" fontId="50" fillId="0" borderId="1" xfId="7" applyNumberFormat="1" applyFont="1" applyBorder="1" applyAlignment="1" applyProtection="1">
      <alignment vertical="center" wrapText="1"/>
      <protection locked="0"/>
    </xf>
    <xf numFmtId="3" fontId="47" fillId="0" borderId="1" xfId="5" applyNumberFormat="1" applyFont="1" applyBorder="1" applyAlignment="1" applyProtection="1">
      <alignment vertical="center" wrapText="1"/>
      <protection locked="0"/>
    </xf>
    <xf numFmtId="0" fontId="47" fillId="0" borderId="0" xfId="1" applyFont="1" applyAlignment="1">
      <alignment vertical="center" wrapText="1"/>
    </xf>
    <xf numFmtId="49" fontId="48" fillId="0" borderId="1" xfId="1" applyNumberFormat="1" applyFont="1" applyBorder="1" applyAlignment="1">
      <alignment horizontal="center" vertical="center" wrapText="1"/>
    </xf>
    <xf numFmtId="3" fontId="48" fillId="0" borderId="1" xfId="1" applyNumberFormat="1" applyFont="1" applyBorder="1" applyAlignment="1">
      <alignment vertical="center" wrapText="1"/>
    </xf>
    <xf numFmtId="0" fontId="47" fillId="2" borderId="1" xfId="0" applyFont="1" applyFill="1" applyBorder="1" applyAlignment="1">
      <alignment horizontal="right" vertical="center" wrapText="1"/>
    </xf>
    <xf numFmtId="0" fontId="47" fillId="29" borderId="1" xfId="0" applyFont="1" applyFill="1" applyBorder="1" applyAlignment="1">
      <alignment horizontal="center" vertical="center"/>
    </xf>
    <xf numFmtId="3" fontId="47" fillId="29" borderId="1" xfId="0" applyNumberFormat="1" applyFont="1" applyFill="1" applyBorder="1" applyAlignment="1">
      <alignment horizontal="right" vertical="center" wrapText="1"/>
    </xf>
    <xf numFmtId="3" fontId="54" fillId="29" borderId="1" xfId="0" applyNumberFormat="1" applyFont="1" applyFill="1" applyBorder="1" applyAlignment="1">
      <alignment horizontal="center" vertical="center" wrapText="1"/>
    </xf>
    <xf numFmtId="166" fontId="54" fillId="29" borderId="1" xfId="12" applyNumberFormat="1" applyFont="1" applyFill="1" applyBorder="1" applyAlignment="1" applyProtection="1">
      <alignment horizontal="center" vertical="center" wrapText="1"/>
    </xf>
    <xf numFmtId="3" fontId="54" fillId="29" borderId="26" xfId="0" applyNumberFormat="1" applyFont="1" applyFill="1" applyBorder="1" applyAlignment="1">
      <alignment horizontal="left" vertical="center" wrapText="1"/>
    </xf>
    <xf numFmtId="0" fontId="48" fillId="2" borderId="1" xfId="0" applyFont="1" applyFill="1" applyBorder="1" applyAlignment="1">
      <alignment horizontal="right" vertical="center"/>
    </xf>
    <xf numFmtId="3" fontId="41" fillId="2" borderId="0" xfId="0" applyNumberFormat="1" applyFont="1" applyFill="1" applyAlignment="1">
      <alignment vertical="center"/>
    </xf>
    <xf numFmtId="49" fontId="48"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7" fillId="2" borderId="1" xfId="0" applyNumberFormat="1" applyFont="1" applyFill="1" applyBorder="1" applyAlignment="1">
      <alignment horizontal="right" vertical="center" wrapText="1"/>
    </xf>
    <xf numFmtId="3" fontId="47" fillId="29" borderId="1" xfId="0" applyNumberFormat="1" applyFont="1" applyFill="1" applyBorder="1" applyAlignment="1">
      <alignment horizontal="left" vertical="center" wrapText="1"/>
    </xf>
    <xf numFmtId="3" fontId="54" fillId="2" borderId="1" xfId="0" applyNumberFormat="1" applyFont="1" applyFill="1" applyBorder="1" applyAlignment="1" applyProtection="1">
      <alignment horizontal="left" vertical="center" wrapText="1"/>
      <protection locked="0"/>
    </xf>
    <xf numFmtId="3" fontId="43" fillId="2" borderId="0" xfId="0" applyNumberFormat="1" applyFont="1" applyFill="1" applyAlignment="1">
      <alignment vertical="center"/>
    </xf>
    <xf numFmtId="3" fontId="47" fillId="2" borderId="1" xfId="0" applyNumberFormat="1" applyFont="1" applyFill="1" applyBorder="1" applyAlignment="1">
      <alignment horizontal="center" vertical="center" wrapText="1"/>
    </xf>
    <xf numFmtId="166" fontId="47" fillId="2" borderId="1" xfId="12" applyNumberFormat="1" applyFont="1" applyFill="1" applyBorder="1" applyAlignment="1" applyProtection="1">
      <alignment horizontal="center" vertical="center" wrapText="1"/>
    </xf>
    <xf numFmtId="3" fontId="47" fillId="2" borderId="1" xfId="0" applyNumberFormat="1" applyFont="1" applyFill="1" applyBorder="1" applyAlignment="1" applyProtection="1">
      <alignment horizontal="left" vertical="center" wrapText="1"/>
      <protection locked="0"/>
    </xf>
    <xf numFmtId="0" fontId="48" fillId="0" borderId="1" xfId="0" applyFont="1" applyBorder="1" applyAlignment="1">
      <alignment horizontal="right" vertical="center"/>
    </xf>
    <xf numFmtId="0" fontId="47" fillId="2" borderId="1" xfId="0" applyFont="1" applyFill="1" applyBorder="1" applyAlignment="1">
      <alignment horizontal="center" vertical="center" wrapText="1"/>
    </xf>
    <xf numFmtId="3" fontId="54" fillId="2" borderId="4" xfId="0" applyNumberFormat="1" applyFont="1" applyFill="1" applyBorder="1" applyAlignment="1">
      <alignment horizontal="center" vertical="center" wrapText="1"/>
    </xf>
    <xf numFmtId="0" fontId="47" fillId="2" borderId="1" xfId="1" applyFont="1" applyFill="1" applyBorder="1" applyAlignment="1">
      <alignment horizontal="center" vertical="center"/>
    </xf>
    <xf numFmtId="0" fontId="48" fillId="2" borderId="1" xfId="1" applyFont="1" applyFill="1" applyBorder="1" applyAlignment="1">
      <alignment horizontal="right" vertical="center"/>
    </xf>
    <xf numFmtId="49" fontId="47" fillId="29" borderId="1" xfId="0" applyNumberFormat="1" applyFont="1" applyFill="1" applyBorder="1" applyAlignment="1">
      <alignment horizontal="center" vertical="center"/>
    </xf>
    <xf numFmtId="0" fontId="47" fillId="30" borderId="1" xfId="0" applyFont="1" applyFill="1" applyBorder="1" applyAlignment="1">
      <alignment horizontal="center" vertical="center"/>
    </xf>
    <xf numFmtId="3" fontId="47"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right" vertical="center" wrapText="1"/>
    </xf>
    <xf numFmtId="3" fontId="54" fillId="30" borderId="1" xfId="0" applyNumberFormat="1" applyFont="1" applyFill="1" applyBorder="1" applyAlignment="1">
      <alignment horizontal="center" vertical="center" wrapText="1"/>
    </xf>
    <xf numFmtId="166" fontId="54" fillId="30" borderId="1" xfId="12" applyNumberFormat="1" applyFont="1" applyFill="1" applyBorder="1" applyAlignment="1" applyProtection="1">
      <alignment horizontal="center" vertical="center" wrapText="1"/>
    </xf>
    <xf numFmtId="3" fontId="54" fillId="30" borderId="26" xfId="0" applyNumberFormat="1" applyFont="1" applyFill="1" applyBorder="1" applyAlignment="1">
      <alignment horizontal="left" vertical="center" wrapText="1"/>
    </xf>
    <xf numFmtId="0" fontId="47" fillId="31" borderId="1" xfId="0" applyFont="1" applyFill="1" applyBorder="1" applyAlignment="1">
      <alignment horizontal="center" vertical="center"/>
    </xf>
    <xf numFmtId="3" fontId="47" fillId="31" borderId="1" xfId="0" applyNumberFormat="1" applyFont="1" applyFill="1" applyBorder="1" applyAlignment="1">
      <alignment horizontal="center" vertical="center" wrapText="1"/>
    </xf>
    <xf numFmtId="3" fontId="47" fillId="31" borderId="1" xfId="0" applyNumberFormat="1" applyFont="1" applyFill="1" applyBorder="1" applyAlignment="1">
      <alignment horizontal="right" vertical="center" wrapText="1"/>
    </xf>
    <xf numFmtId="3" fontId="54" fillId="31" borderId="1" xfId="0" applyNumberFormat="1" applyFont="1" applyFill="1" applyBorder="1" applyAlignment="1">
      <alignment horizontal="center" vertical="center" wrapText="1"/>
    </xf>
    <xf numFmtId="166" fontId="54" fillId="31" borderId="1" xfId="12" applyNumberFormat="1" applyFont="1" applyFill="1" applyBorder="1" applyAlignment="1" applyProtection="1">
      <alignment horizontal="center" vertical="center" wrapText="1"/>
    </xf>
    <xf numFmtId="3" fontId="54" fillId="31" borderId="26" xfId="0" applyNumberFormat="1" applyFont="1" applyFill="1" applyBorder="1" applyAlignment="1">
      <alignment horizontal="left" vertical="center" wrapText="1"/>
    </xf>
    <xf numFmtId="49" fontId="47" fillId="31" borderId="1" xfId="1" applyNumberFormat="1" applyFont="1" applyFill="1" applyBorder="1" applyAlignment="1">
      <alignment horizontal="center" vertical="center" wrapText="1"/>
    </xf>
    <xf numFmtId="0" fontId="47" fillId="31" borderId="1" xfId="1" applyFont="1" applyFill="1" applyBorder="1" applyAlignment="1">
      <alignment horizontal="center" vertical="center" wrapText="1"/>
    </xf>
    <xf numFmtId="49" fontId="48" fillId="31" borderId="1" xfId="5" applyNumberFormat="1" applyFont="1" applyFill="1" applyBorder="1" applyAlignment="1">
      <alignment horizontal="center" vertical="center" wrapText="1"/>
    </xf>
    <xf numFmtId="3" fontId="47" fillId="31" borderId="1" xfId="6" applyNumberFormat="1" applyFont="1" applyFill="1" applyBorder="1" applyAlignment="1">
      <alignment horizontal="center" vertical="center" wrapText="1"/>
    </xf>
    <xf numFmtId="3" fontId="49" fillId="31" borderId="1" xfId="0" applyNumberFormat="1" applyFont="1" applyFill="1" applyBorder="1" applyAlignment="1" applyProtection="1">
      <alignment vertical="center" wrapText="1"/>
      <protection locked="0"/>
    </xf>
    <xf numFmtId="3" fontId="49" fillId="31" borderId="1" xfId="7" applyNumberFormat="1" applyFont="1" applyFill="1" applyBorder="1" applyAlignment="1" applyProtection="1">
      <alignment vertical="center" wrapText="1"/>
      <protection locked="0"/>
    </xf>
    <xf numFmtId="3" fontId="48" fillId="31" borderId="1" xfId="5" applyNumberFormat="1" applyFont="1" applyFill="1" applyBorder="1" applyAlignment="1" applyProtection="1">
      <alignment vertical="center" wrapText="1"/>
      <protection locked="0"/>
    </xf>
    <xf numFmtId="49" fontId="47" fillId="2" borderId="1" xfId="5" applyNumberFormat="1" applyFont="1" applyFill="1" applyBorder="1" applyAlignment="1">
      <alignment horizontal="center" vertical="center" wrapText="1"/>
    </xf>
    <xf numFmtId="3" fontId="47" fillId="2" borderId="1" xfId="6" applyNumberFormat="1" applyFont="1" applyFill="1" applyBorder="1" applyAlignment="1">
      <alignment vertical="center" wrapText="1"/>
    </xf>
    <xf numFmtId="3" fontId="50" fillId="2" borderId="1" xfId="0" applyNumberFormat="1" applyFont="1" applyFill="1" applyBorder="1" applyAlignment="1" applyProtection="1">
      <alignment vertical="center" wrapText="1"/>
      <protection locked="0"/>
    </xf>
    <xf numFmtId="3" fontId="50" fillId="2" borderId="1" xfId="7" applyNumberFormat="1" applyFont="1" applyFill="1" applyBorder="1" applyAlignment="1" applyProtection="1">
      <alignment vertical="center" wrapText="1"/>
      <protection locked="0"/>
    </xf>
    <xf numFmtId="3" fontId="47" fillId="2" borderId="1" xfId="5" applyNumberFormat="1" applyFont="1" applyFill="1" applyBorder="1" applyAlignment="1" applyProtection="1">
      <alignment vertical="center" wrapText="1"/>
      <protection locked="0"/>
    </xf>
    <xf numFmtId="49" fontId="48" fillId="2" borderId="1" xfId="5" applyNumberFormat="1" applyFont="1" applyFill="1" applyBorder="1" applyAlignment="1">
      <alignment horizontal="center" vertical="center" wrapText="1"/>
    </xf>
    <xf numFmtId="3" fontId="49" fillId="2" borderId="1" xfId="0" applyNumberFormat="1" applyFont="1" applyFill="1" applyBorder="1" applyAlignment="1" applyProtection="1">
      <alignment vertical="center" wrapText="1"/>
      <protection locked="0"/>
    </xf>
    <xf numFmtId="3" fontId="49" fillId="2" borderId="1" xfId="7" applyNumberFormat="1" applyFont="1" applyFill="1" applyBorder="1" applyAlignment="1" applyProtection="1">
      <alignment vertical="center" wrapText="1"/>
      <protection locked="0"/>
    </xf>
    <xf numFmtId="3" fontId="48" fillId="2" borderId="1" xfId="5" applyNumberFormat="1" applyFont="1" applyFill="1" applyBorder="1" applyAlignment="1" applyProtection="1">
      <alignment vertical="center" wrapText="1"/>
      <protection locked="0"/>
    </xf>
    <xf numFmtId="3" fontId="49" fillId="28" borderId="1" xfId="0" applyNumberFormat="1" applyFont="1" applyFill="1" applyBorder="1" applyAlignment="1" applyProtection="1">
      <alignment vertical="center" wrapText="1"/>
      <protection locked="0"/>
    </xf>
    <xf numFmtId="3" fontId="48" fillId="28" borderId="1" xfId="0" applyNumberFormat="1" applyFont="1" applyFill="1" applyBorder="1" applyAlignment="1" applyProtection="1">
      <alignment horizontal="right" vertical="center" wrapText="1"/>
      <protection locked="0"/>
    </xf>
    <xf numFmtId="3" fontId="49" fillId="28" borderId="1" xfId="7" applyNumberFormat="1" applyFont="1" applyFill="1" applyBorder="1" applyAlignment="1" applyProtection="1">
      <alignment vertical="center" wrapText="1"/>
      <protection locked="0"/>
    </xf>
    <xf numFmtId="3" fontId="48" fillId="28" borderId="1" xfId="5" applyNumberFormat="1" applyFont="1" applyFill="1" applyBorder="1" applyAlignment="1" applyProtection="1">
      <alignment vertical="center" wrapText="1"/>
      <protection locked="0"/>
    </xf>
    <xf numFmtId="3" fontId="47" fillId="2" borderId="1" xfId="0" applyNumberFormat="1" applyFont="1" applyFill="1" applyBorder="1" applyAlignment="1" applyProtection="1">
      <alignment vertical="center" wrapText="1"/>
      <protection locked="0"/>
    </xf>
    <xf numFmtId="3" fontId="47" fillId="2" borderId="1" xfId="7" applyNumberFormat="1" applyFont="1" applyFill="1" applyBorder="1" applyAlignment="1" applyProtection="1">
      <alignment vertical="center" wrapText="1"/>
      <protection locked="0"/>
    </xf>
    <xf numFmtId="49" fontId="47" fillId="28" borderId="1" xfId="1" applyNumberFormat="1" applyFont="1" applyFill="1" applyBorder="1" applyAlignment="1">
      <alignment horizontal="center" vertical="center" wrapText="1"/>
    </xf>
    <xf numFmtId="3" fontId="47" fillId="28" borderId="1" xfId="1" applyNumberFormat="1" applyFont="1" applyFill="1" applyBorder="1" applyAlignment="1">
      <alignment vertical="center" wrapText="1"/>
    </xf>
    <xf numFmtId="0" fontId="47" fillId="28" borderId="1" xfId="1" applyFont="1" applyFill="1" applyBorder="1" applyAlignment="1">
      <alignment horizontal="left" vertical="center" wrapText="1"/>
    </xf>
    <xf numFmtId="49" fontId="47" fillId="31" borderId="5" xfId="6" applyNumberFormat="1" applyFont="1" applyFill="1" applyBorder="1" applyAlignment="1">
      <alignment horizontal="center" vertical="center"/>
    </xf>
    <xf numFmtId="0" fontId="47" fillId="31" borderId="7" xfId="6" applyFont="1" applyFill="1" applyBorder="1" applyAlignment="1">
      <alignment vertical="center" wrapText="1"/>
    </xf>
    <xf numFmtId="0" fontId="47" fillId="31" borderId="8" xfId="6" applyFont="1" applyFill="1" applyBorder="1" applyAlignment="1">
      <alignment horizontal="center" vertical="center" wrapText="1"/>
    </xf>
    <xf numFmtId="3" fontId="47" fillId="31" borderId="3" xfId="6" applyNumberFormat="1" applyFont="1" applyFill="1" applyBorder="1" applyAlignment="1">
      <alignment horizontal="center" vertical="center"/>
    </xf>
    <xf numFmtId="3" fontId="47" fillId="31" borderId="1" xfId="6" applyNumberFormat="1" applyFont="1" applyFill="1" applyBorder="1" applyAlignment="1">
      <alignment horizontal="center" vertical="center"/>
    </xf>
    <xf numFmtId="3" fontId="54" fillId="31" borderId="3" xfId="6" applyNumberFormat="1" applyFont="1" applyFill="1" applyBorder="1" applyAlignment="1">
      <alignment horizontal="center" vertical="center"/>
    </xf>
    <xf numFmtId="0" fontId="47" fillId="31" borderId="6" xfId="0" applyFont="1" applyFill="1" applyBorder="1" applyAlignment="1">
      <alignment horizontal="left" vertical="center" wrapText="1" readingOrder="1"/>
    </xf>
    <xf numFmtId="0" fontId="47" fillId="31" borderId="2" xfId="0" applyFont="1" applyFill="1" applyBorder="1" applyAlignment="1">
      <alignment horizontal="center" vertical="center" wrapText="1"/>
    </xf>
    <xf numFmtId="49" fontId="47" fillId="31" borderId="1" xfId="6" applyNumberFormat="1" applyFont="1" applyFill="1" applyBorder="1" applyAlignment="1">
      <alignment horizontal="center" vertical="center"/>
    </xf>
    <xf numFmtId="3" fontId="47" fillId="31" borderId="1" xfId="6" applyNumberFormat="1" applyFont="1" applyFill="1" applyBorder="1" applyAlignment="1">
      <alignment vertical="center" wrapText="1"/>
    </xf>
    <xf numFmtId="3" fontId="47" fillId="31" borderId="3" xfId="6" applyNumberFormat="1" applyFont="1" applyFill="1" applyBorder="1" applyAlignment="1">
      <alignment horizontal="center" vertical="center" wrapText="1"/>
    </xf>
    <xf numFmtId="0" fontId="47" fillId="31" borderId="4" xfId="6" applyFont="1" applyFill="1" applyBorder="1" applyAlignment="1">
      <alignment vertical="center" wrapText="1"/>
    </xf>
    <xf numFmtId="0" fontId="47" fillId="31" borderId="9" xfId="6" applyFont="1" applyFill="1" applyBorder="1" applyAlignment="1">
      <alignment horizontal="center" vertical="center" wrapText="1"/>
    </xf>
    <xf numFmtId="0" fontId="47" fillId="31" borderId="1" xfId="0" applyFont="1" applyFill="1" applyBorder="1" applyAlignment="1">
      <alignment horizontal="left" vertical="center" wrapText="1" readingOrder="1"/>
    </xf>
    <xf numFmtId="0" fontId="47" fillId="31" borderId="3" xfId="0" applyFont="1" applyFill="1" applyBorder="1" applyAlignment="1">
      <alignment horizontal="center" vertical="center" wrapText="1"/>
    </xf>
    <xf numFmtId="3" fontId="47" fillId="31" borderId="1" xfId="6" applyNumberFormat="1" applyFont="1" applyFill="1" applyBorder="1" applyAlignment="1">
      <alignment horizontal="left" vertical="center" wrapText="1"/>
    </xf>
    <xf numFmtId="3" fontId="47" fillId="31" borderId="1" xfId="0" applyNumberFormat="1" applyFont="1" applyFill="1" applyBorder="1" applyAlignment="1">
      <alignment horizontal="center" vertical="center"/>
    </xf>
    <xf numFmtId="3" fontId="54" fillId="31" borderId="1" xfId="0" applyNumberFormat="1" applyFont="1" applyFill="1" applyBorder="1" applyAlignment="1">
      <alignment horizontal="center" vertical="center"/>
    </xf>
    <xf numFmtId="0" fontId="47" fillId="31" borderId="5" xfId="6" applyFont="1" applyFill="1" applyBorder="1" applyAlignment="1">
      <alignment horizontal="center" vertical="center"/>
    </xf>
    <xf numFmtId="0" fontId="51" fillId="31" borderId="0" xfId="0" applyFont="1" applyFill="1" applyAlignment="1">
      <alignment horizontal="center" vertical="center"/>
    </xf>
    <xf numFmtId="49" fontId="48" fillId="31" borderId="0" xfId="0" applyNumberFormat="1" applyFont="1" applyFill="1" applyAlignment="1">
      <alignment horizontal="left" vertical="center"/>
    </xf>
    <xf numFmtId="0" fontId="48" fillId="31" borderId="0" xfId="0" applyFont="1" applyFill="1" applyAlignment="1">
      <alignment vertical="center"/>
    </xf>
    <xf numFmtId="9" fontId="51" fillId="31" borderId="0" xfId="12" applyFont="1" applyFill="1" applyAlignment="1" applyProtection="1">
      <alignment horizontal="center" vertical="center"/>
    </xf>
    <xf numFmtId="49" fontId="47" fillId="28" borderId="26" xfId="6" applyNumberFormat="1" applyFont="1" applyFill="1" applyBorder="1" applyAlignment="1">
      <alignment horizontal="left" vertical="center" wrapText="1"/>
    </xf>
    <xf numFmtId="49" fontId="47" fillId="28" borderId="26" xfId="0" applyNumberFormat="1" applyFont="1" applyFill="1" applyBorder="1" applyAlignment="1">
      <alignment horizontal="left" vertical="center"/>
    </xf>
    <xf numFmtId="49" fontId="47" fillId="28" borderId="26" xfId="6" applyNumberFormat="1" applyFont="1" applyFill="1" applyBorder="1" applyAlignment="1">
      <alignment horizontal="left" vertical="center"/>
    </xf>
    <xf numFmtId="3" fontId="54" fillId="28" borderId="26" xfId="0" applyNumberFormat="1" applyFont="1" applyFill="1" applyBorder="1" applyAlignment="1">
      <alignment vertical="center" wrapText="1"/>
    </xf>
    <xf numFmtId="0" fontId="47" fillId="31" borderId="1" xfId="1467" applyFont="1" applyFill="1" applyBorder="1" applyAlignment="1">
      <alignment horizontal="center" vertical="center"/>
    </xf>
    <xf numFmtId="0" fontId="47" fillId="31" borderId="1" xfId="1467" applyFont="1" applyFill="1" applyBorder="1" applyAlignment="1">
      <alignment vertical="center" wrapText="1"/>
    </xf>
    <xf numFmtId="3" fontId="47" fillId="31" borderId="1" xfId="1467" applyNumberFormat="1" applyFont="1" applyFill="1" applyBorder="1" applyAlignment="1">
      <alignment horizontal="center" vertical="center"/>
    </xf>
    <xf numFmtId="9" fontId="51" fillId="31" borderId="1" xfId="12" applyFont="1" applyFill="1" applyBorder="1" applyAlignment="1" applyProtection="1">
      <alignment horizontal="center" vertical="center"/>
      <protection locked="0"/>
    </xf>
    <xf numFmtId="49" fontId="47" fillId="28" borderId="26" xfId="1" applyNumberFormat="1" applyFont="1" applyFill="1" applyBorder="1" applyAlignment="1">
      <alignment horizontal="left" vertical="center"/>
    </xf>
    <xf numFmtId="0" fontId="47" fillId="31" borderId="1" xfId="1" applyFont="1" applyFill="1" applyBorder="1" applyAlignment="1">
      <alignment horizontal="left" vertical="center"/>
    </xf>
    <xf numFmtId="3" fontId="47" fillId="31" borderId="1" xfId="1" applyNumberFormat="1" applyFont="1" applyFill="1" applyBorder="1" applyAlignment="1">
      <alignment horizontal="right" vertical="center"/>
    </xf>
    <xf numFmtId="3" fontId="54" fillId="31" borderId="1" xfId="1" applyNumberFormat="1" applyFont="1" applyFill="1" applyBorder="1" applyAlignment="1">
      <alignment horizontal="center" vertical="center"/>
    </xf>
    <xf numFmtId="9" fontId="54" fillId="31" borderId="1" xfId="12" applyFont="1" applyFill="1" applyBorder="1" applyAlignment="1" applyProtection="1">
      <alignment horizontal="center" vertical="center"/>
    </xf>
    <xf numFmtId="49" fontId="47" fillId="31" borderId="26" xfId="1" applyNumberFormat="1" applyFont="1" applyFill="1" applyBorder="1" applyAlignment="1">
      <alignment horizontal="left" vertical="center"/>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0" fontId="47" fillId="28" borderId="1" xfId="0" applyFont="1" applyFill="1" applyBorder="1" applyAlignment="1" applyProtection="1">
      <alignment horizontal="right" vertical="center" wrapText="1"/>
      <protection locked="0"/>
    </xf>
    <xf numFmtId="3" fontId="47" fillId="28" borderId="1" xfId="0" applyNumberFormat="1" applyFont="1" applyFill="1" applyBorder="1" applyAlignment="1" applyProtection="1">
      <alignment horizontal="right" vertical="center" wrapText="1"/>
      <protection locked="0"/>
    </xf>
    <xf numFmtId="3" fontId="54" fillId="28" borderId="1" xfId="0" applyNumberFormat="1" applyFont="1" applyFill="1" applyBorder="1" applyAlignment="1">
      <alignment vertical="center" wrapText="1"/>
    </xf>
    <xf numFmtId="3" fontId="51" fillId="28" borderId="1" xfId="1" applyNumberFormat="1" applyFont="1" applyFill="1" applyBorder="1" applyAlignment="1" applyProtection="1">
      <alignment horizontal="center" vertical="center"/>
      <protection locked="0"/>
    </xf>
    <xf numFmtId="49" fontId="47" fillId="28" borderId="6" xfId="1" applyNumberFormat="1" applyFont="1" applyFill="1" applyBorder="1" applyAlignment="1">
      <alignment horizontal="center" vertical="center"/>
    </xf>
    <xf numFmtId="3" fontId="48" fillId="2" borderId="1" xfId="6" applyNumberFormat="1" applyFont="1" applyFill="1" applyBorder="1" applyAlignment="1">
      <alignment horizontal="left" vertical="top" wrapText="1"/>
    </xf>
    <xf numFmtId="3" fontId="47" fillId="30" borderId="1" xfId="6" applyNumberFormat="1" applyFont="1" applyFill="1" applyBorder="1" applyAlignment="1">
      <alignment horizontal="left" vertical="center" wrapText="1"/>
    </xf>
    <xf numFmtId="3" fontId="47" fillId="30" borderId="1" xfId="1" applyNumberFormat="1" applyFont="1" applyFill="1" applyBorder="1" applyAlignment="1">
      <alignment horizontal="right" vertical="center"/>
    </xf>
    <xf numFmtId="3" fontId="54" fillId="30" borderId="1" xfId="1" applyNumberFormat="1" applyFont="1" applyFill="1" applyBorder="1" applyAlignment="1">
      <alignment horizontal="center" vertical="center"/>
    </xf>
    <xf numFmtId="9" fontId="54" fillId="30" borderId="1" xfId="12" applyFont="1" applyFill="1" applyBorder="1" applyAlignment="1" applyProtection="1">
      <alignment horizontal="center" vertical="center"/>
    </xf>
    <xf numFmtId="49" fontId="47" fillId="30" borderId="26" xfId="1" applyNumberFormat="1" applyFont="1" applyFill="1" applyBorder="1" applyAlignment="1">
      <alignment horizontal="left" vertical="center"/>
    </xf>
    <xf numFmtId="0" fontId="47" fillId="0" borderId="0" xfId="0" applyFont="1" applyAlignment="1">
      <alignment vertical="center"/>
    </xf>
    <xf numFmtId="0" fontId="47" fillId="0" borderId="0" xfId="0" applyFont="1" applyAlignment="1" applyProtection="1">
      <alignment vertical="center"/>
      <protection locked="0"/>
    </xf>
    <xf numFmtId="0" fontId="47" fillId="30" borderId="1" xfId="1" applyFont="1" applyFill="1" applyBorder="1" applyAlignment="1">
      <alignment horizontal="center" vertical="center"/>
    </xf>
    <xf numFmtId="0" fontId="47" fillId="31" borderId="1" xfId="1" applyFont="1" applyFill="1" applyBorder="1" applyAlignment="1">
      <alignment horizontal="center" vertical="center"/>
    </xf>
    <xf numFmtId="49" fontId="47" fillId="31" borderId="1" xfId="1" applyNumberFormat="1" applyFont="1" applyFill="1" applyBorder="1" applyAlignment="1">
      <alignment vertical="center"/>
    </xf>
    <xf numFmtId="49" fontId="47" fillId="28" borderId="4" xfId="1" applyNumberFormat="1" applyFont="1" applyFill="1" applyBorder="1" applyAlignment="1">
      <alignment vertical="center"/>
    </xf>
    <xf numFmtId="0" fontId="47" fillId="28" borderId="1" xfId="0" applyFont="1" applyFill="1" applyBorder="1" applyAlignment="1" applyProtection="1">
      <alignment vertical="center"/>
      <protection locked="0"/>
    </xf>
    <xf numFmtId="3" fontId="47" fillId="31" borderId="1" xfId="1" applyNumberFormat="1" applyFont="1" applyFill="1" applyBorder="1" applyAlignment="1" applyProtection="1">
      <alignment horizontal="right" vertical="center"/>
      <protection locked="0"/>
    </xf>
    <xf numFmtId="3" fontId="54" fillId="31" borderId="1" xfId="1" applyNumberFormat="1" applyFont="1" applyFill="1" applyBorder="1" applyAlignment="1" applyProtection="1">
      <alignment horizontal="center" vertical="center"/>
      <protection locked="0"/>
    </xf>
    <xf numFmtId="9" fontId="54" fillId="31" borderId="1" xfId="12" applyFont="1" applyFill="1" applyBorder="1" applyAlignment="1" applyProtection="1">
      <alignment horizontal="center" vertical="center"/>
      <protection locked="0"/>
    </xf>
    <xf numFmtId="49" fontId="47" fillId="31" borderId="4" xfId="1" applyNumberFormat="1" applyFont="1" applyFill="1" applyBorder="1" applyAlignment="1" applyProtection="1">
      <alignment horizontal="center" vertical="center"/>
      <protection locked="0"/>
    </xf>
    <xf numFmtId="9" fontId="54" fillId="28" borderId="5" xfId="12" applyFont="1" applyFill="1" applyBorder="1" applyAlignment="1" applyProtection="1">
      <alignment horizontal="center" vertical="center"/>
    </xf>
    <xf numFmtId="3" fontId="47" fillId="28" borderId="3" xfId="1" applyNumberFormat="1" applyFont="1" applyFill="1" applyBorder="1" applyAlignment="1">
      <alignment horizontal="right" vertical="center"/>
    </xf>
    <xf numFmtId="3" fontId="47" fillId="28" borderId="3" xfId="1" applyNumberFormat="1" applyFont="1" applyFill="1" applyBorder="1" applyAlignment="1" applyProtection="1">
      <alignment horizontal="right" vertical="center"/>
      <protection locked="0"/>
    </xf>
    <xf numFmtId="49" fontId="48" fillId="28" borderId="1" xfId="1" applyNumberFormat="1" applyFont="1" applyFill="1" applyBorder="1" applyAlignment="1">
      <alignment horizontal="center" vertical="center"/>
    </xf>
    <xf numFmtId="49" fontId="47" fillId="0" borderId="1" xfId="1" applyNumberFormat="1" applyFont="1" applyBorder="1" applyAlignment="1">
      <alignment horizontal="center" vertical="center"/>
    </xf>
    <xf numFmtId="9" fontId="48" fillId="0" borderId="2" xfId="12" applyFont="1" applyFill="1" applyBorder="1" applyAlignment="1" applyProtection="1">
      <alignment horizontal="right" vertical="center" wrapText="1"/>
    </xf>
    <xf numFmtId="3" fontId="40" fillId="2" borderId="6" xfId="6" applyNumberFormat="1" applyFont="1" applyFill="1" applyBorder="1" applyAlignment="1" applyProtection="1">
      <alignment horizontal="right" vertical="center" wrapText="1"/>
      <protection locked="0"/>
    </xf>
    <xf numFmtId="3" fontId="40" fillId="2" borderId="1" xfId="6" applyNumberFormat="1" applyFont="1" applyFill="1" applyBorder="1" applyAlignment="1" applyProtection="1">
      <alignment horizontal="right" vertical="center" wrapText="1"/>
      <protection locked="0"/>
    </xf>
    <xf numFmtId="3" fontId="40" fillId="2" borderId="1" xfId="6" applyNumberFormat="1" applyFont="1" applyFill="1" applyBorder="1" applyAlignment="1" applyProtection="1">
      <alignment horizontal="right" vertical="center"/>
      <protection locked="0"/>
    </xf>
    <xf numFmtId="9" fontId="51" fillId="0" borderId="2" xfId="12" applyFont="1" applyFill="1" applyBorder="1" applyAlignment="1" applyProtection="1">
      <alignment horizontal="center" vertical="center" wrapText="1"/>
    </xf>
    <xf numFmtId="9" fontId="51" fillId="2" borderId="1" xfId="12" applyFont="1" applyFill="1" applyBorder="1" applyAlignment="1" applyProtection="1">
      <alignment horizontal="left" vertical="center"/>
    </xf>
    <xf numFmtId="4" fontId="48" fillId="0" borderId="1" xfId="6" applyNumberFormat="1" applyFont="1" applyBorder="1" applyAlignment="1" applyProtection="1">
      <alignment horizontal="right" vertical="center" wrapText="1"/>
      <protection locked="0"/>
    </xf>
    <xf numFmtId="4" fontId="48" fillId="0" borderId="1" xfId="0" applyNumberFormat="1" applyFont="1" applyBorder="1" applyAlignment="1" applyProtection="1">
      <alignment horizontal="right" vertical="center"/>
      <protection locked="0"/>
    </xf>
    <xf numFmtId="4" fontId="51" fillId="0" borderId="1" xfId="0" applyNumberFormat="1" applyFont="1" applyBorder="1" applyAlignment="1" applyProtection="1">
      <alignment horizontal="center" vertical="center"/>
      <protection locked="0"/>
    </xf>
    <xf numFmtId="4" fontId="51" fillId="0" borderId="1" xfId="12" applyNumberFormat="1" applyFont="1" applyFill="1" applyBorder="1" applyAlignment="1" applyProtection="1">
      <alignment horizontal="center" vertical="center"/>
    </xf>
    <xf numFmtId="4" fontId="51" fillId="0" borderId="1" xfId="12" applyNumberFormat="1" applyFont="1" applyFill="1" applyBorder="1" applyAlignment="1" applyProtection="1">
      <alignment horizontal="left" vertical="center"/>
    </xf>
    <xf numFmtId="4" fontId="48" fillId="0" borderId="1" xfId="0" applyNumberFormat="1" applyFont="1" applyBorder="1" applyAlignment="1" applyProtection="1">
      <alignment horizontal="right" vertical="center" wrapText="1"/>
      <protection locked="0"/>
    </xf>
    <xf numFmtId="4" fontId="48" fillId="2" borderId="1" xfId="6" applyNumberFormat="1" applyFont="1" applyFill="1" applyBorder="1" applyAlignment="1" applyProtection="1">
      <alignment horizontal="right" vertical="center"/>
      <protection locked="0"/>
    </xf>
    <xf numFmtId="4" fontId="51" fillId="2" borderId="1" xfId="6" applyNumberFormat="1" applyFont="1" applyFill="1" applyBorder="1" applyAlignment="1" applyProtection="1">
      <alignment horizontal="center" vertical="center"/>
      <protection locked="0"/>
    </xf>
    <xf numFmtId="4" fontId="51" fillId="2" borderId="1" xfId="12" applyNumberFormat="1" applyFont="1" applyFill="1" applyBorder="1" applyAlignment="1" applyProtection="1">
      <alignment horizontal="center" vertical="center"/>
    </xf>
    <xf numFmtId="4" fontId="51" fillId="2" borderId="1" xfId="12" applyNumberFormat="1" applyFont="1" applyFill="1" applyBorder="1" applyAlignment="1" applyProtection="1">
      <alignment horizontal="left" vertical="center"/>
    </xf>
    <xf numFmtId="4" fontId="51" fillId="0" borderId="1" xfId="6" applyNumberFormat="1" applyFont="1" applyBorder="1" applyAlignment="1" applyProtection="1">
      <alignment horizontal="center" vertical="center"/>
      <protection locked="0"/>
    </xf>
    <xf numFmtId="3" fontId="62" fillId="0" borderId="1" xfId="0" applyNumberFormat="1" applyFont="1" applyBorder="1" applyAlignment="1">
      <alignment horizontal="center" vertical="center" wrapText="1"/>
    </xf>
    <xf numFmtId="3" fontId="62" fillId="31" borderId="1" xfId="6" applyNumberFormat="1" applyFont="1" applyFill="1" applyBorder="1" applyAlignment="1">
      <alignment horizontal="center" vertical="center"/>
    </xf>
    <xf numFmtId="3" fontId="62" fillId="28" borderId="1" xfId="6" applyNumberFormat="1" applyFont="1" applyFill="1" applyBorder="1" applyAlignment="1">
      <alignment horizontal="center" vertical="center"/>
    </xf>
    <xf numFmtId="3" fontId="62" fillId="2" borderId="1" xfId="6" applyNumberFormat="1" applyFont="1" applyFill="1" applyBorder="1" applyAlignment="1">
      <alignment horizontal="right" vertical="center"/>
    </xf>
    <xf numFmtId="3" fontId="62" fillId="2" borderId="1" xfId="6" applyNumberFormat="1" applyFont="1" applyFill="1" applyBorder="1" applyAlignment="1" applyProtection="1">
      <alignment horizontal="right" vertical="center"/>
      <protection locked="0"/>
    </xf>
    <xf numFmtId="3" fontId="62" fillId="0" borderId="2" xfId="0" applyNumberFormat="1" applyFont="1" applyBorder="1" applyAlignment="1">
      <alignment horizontal="right" vertical="center" wrapText="1"/>
    </xf>
    <xf numFmtId="9" fontId="62" fillId="0" borderId="2" xfId="12" applyFont="1" applyFill="1" applyBorder="1" applyAlignment="1" applyProtection="1">
      <alignment horizontal="right" vertical="center" wrapText="1"/>
    </xf>
    <xf numFmtId="3" fontId="62" fillId="0" borderId="2" xfId="0" applyNumberFormat="1" applyFont="1" applyBorder="1" applyAlignment="1" applyProtection="1">
      <alignment horizontal="right" vertical="center" wrapText="1"/>
      <protection locked="0"/>
    </xf>
    <xf numFmtId="3" fontId="62" fillId="2" borderId="1" xfId="0" applyNumberFormat="1" applyFont="1" applyFill="1" applyBorder="1" applyAlignment="1" applyProtection="1">
      <alignment horizontal="right" vertical="center"/>
      <protection locked="0"/>
    </xf>
    <xf numFmtId="4" fontId="62" fillId="0" borderId="1" xfId="0" applyNumberFormat="1" applyFont="1" applyBorder="1" applyAlignment="1" applyProtection="1">
      <alignment horizontal="right" vertical="center"/>
      <protection locked="0"/>
    </xf>
    <xf numFmtId="3" fontId="62" fillId="0" borderId="1" xfId="0" applyNumberFormat="1" applyFont="1" applyBorder="1" applyAlignment="1" applyProtection="1">
      <alignment horizontal="right" vertical="center"/>
      <protection locked="0"/>
    </xf>
    <xf numFmtId="3" fontId="62" fillId="2" borderId="1" xfId="0" applyNumberFormat="1" applyFont="1" applyFill="1" applyBorder="1" applyAlignment="1">
      <alignment horizontal="right" vertical="center"/>
    </xf>
    <xf numFmtId="4" fontId="62" fillId="2" borderId="1" xfId="6" applyNumberFormat="1" applyFont="1" applyFill="1" applyBorder="1" applyAlignment="1" applyProtection="1">
      <alignment horizontal="right" vertical="center"/>
      <protection locked="0"/>
    </xf>
    <xf numFmtId="3" fontId="62" fillId="28" borderId="1" xfId="6" applyNumberFormat="1" applyFont="1" applyFill="1" applyBorder="1" applyAlignment="1">
      <alignment horizontal="right" vertical="center" wrapText="1"/>
    </xf>
    <xf numFmtId="3" fontId="62" fillId="0" borderId="1" xfId="6" applyNumberFormat="1" applyFont="1" applyBorder="1" applyAlignment="1" applyProtection="1">
      <alignment horizontal="right" vertical="center"/>
      <protection locked="0"/>
    </xf>
    <xf numFmtId="3" fontId="62" fillId="31" borderId="1" xfId="0" applyNumberFormat="1" applyFont="1" applyFill="1" applyBorder="1" applyAlignment="1">
      <alignment horizontal="center" vertical="center"/>
    </xf>
    <xf numFmtId="3" fontId="62" fillId="0" borderId="0" xfId="0" applyNumberFormat="1" applyFont="1" applyAlignment="1">
      <alignment horizontal="right" vertical="center"/>
    </xf>
    <xf numFmtId="0" fontId="45" fillId="0" borderId="0" xfId="0" applyFont="1" applyAlignment="1">
      <alignment vertical="center"/>
    </xf>
    <xf numFmtId="3" fontId="45" fillId="2" borderId="6" xfId="6" applyNumberFormat="1" applyFont="1" applyFill="1" applyBorder="1" applyAlignment="1" applyProtection="1">
      <alignment horizontal="right" vertical="center" wrapText="1"/>
      <protection locked="0"/>
    </xf>
    <xf numFmtId="168" fontId="62" fillId="2" borderId="1" xfId="6" applyNumberFormat="1" applyFont="1" applyFill="1" applyBorder="1" applyAlignment="1" applyProtection="1">
      <alignment horizontal="right" vertical="center"/>
      <protection locked="0"/>
    </xf>
    <xf numFmtId="0" fontId="63" fillId="0" borderId="1" xfId="0" applyFont="1" applyBorder="1" applyAlignment="1">
      <alignment horizontal="right" vertical="center" wrapText="1"/>
    </xf>
    <xf numFmtId="3" fontId="47" fillId="31" borderId="1" xfId="1" applyNumberFormat="1" applyFont="1" applyFill="1" applyBorder="1" applyAlignment="1">
      <alignment horizontal="center" vertical="center" wrapText="1"/>
    </xf>
    <xf numFmtId="3" fontId="64" fillId="2" borderId="1" xfId="0" applyNumberFormat="1" applyFont="1" applyFill="1" applyBorder="1" applyAlignment="1" applyProtection="1">
      <alignment horizontal="center" vertical="center" wrapText="1"/>
      <protection locked="0"/>
    </xf>
    <xf numFmtId="168" fontId="51" fillId="0" borderId="1" xfId="0" applyNumberFormat="1" applyFont="1" applyBorder="1" applyAlignment="1" applyProtection="1">
      <alignment horizontal="center" vertical="center"/>
      <protection locked="0"/>
    </xf>
    <xf numFmtId="168" fontId="51" fillId="0" borderId="1" xfId="12" applyNumberFormat="1" applyFont="1" applyFill="1" applyBorder="1" applyAlignment="1" applyProtection="1">
      <alignment horizontal="center" vertical="center"/>
    </xf>
    <xf numFmtId="49" fontId="51" fillId="2" borderId="1" xfId="12" applyNumberFormat="1" applyFont="1" applyFill="1" applyBorder="1" applyAlignment="1" applyProtection="1">
      <alignment horizontal="left" vertical="center" wrapText="1"/>
    </xf>
    <xf numFmtId="49" fontId="51" fillId="0" borderId="1" xfId="12" applyNumberFormat="1" applyFont="1" applyFill="1" applyBorder="1" applyAlignment="1" applyProtection="1">
      <alignment horizontal="left" vertical="center" wrapText="1"/>
    </xf>
    <xf numFmtId="49" fontId="34" fillId="0" borderId="1" xfId="6" applyNumberFormat="1" applyFont="1" applyBorder="1" applyAlignment="1" applyProtection="1">
      <alignment horizontal="left" vertical="center" wrapText="1"/>
      <protection locked="0"/>
    </xf>
    <xf numFmtId="49" fontId="34" fillId="0" borderId="1" xfId="1" applyNumberFormat="1" applyFont="1" applyBorder="1" applyAlignment="1">
      <alignment horizontal="center" vertical="center" wrapText="1"/>
    </xf>
    <xf numFmtId="3" fontId="64" fillId="0" borderId="4" xfId="0" applyNumberFormat="1" applyFont="1" applyBorder="1" applyAlignment="1">
      <alignment horizontal="center" vertical="center" wrapText="1"/>
    </xf>
    <xf numFmtId="3" fontId="34" fillId="0" borderId="1" xfId="0" applyNumberFormat="1" applyFont="1" applyBorder="1" applyAlignment="1">
      <alignment horizontal="center" vertical="center" wrapText="1"/>
    </xf>
    <xf numFmtId="3" fontId="64" fillId="31" borderId="26" xfId="0" applyNumberFormat="1" applyFont="1" applyFill="1" applyBorder="1" applyAlignment="1">
      <alignment horizontal="left" vertical="center" wrapText="1"/>
    </xf>
    <xf numFmtId="3" fontId="64" fillId="29" borderId="26" xfId="0" applyNumberFormat="1" applyFont="1" applyFill="1" applyBorder="1" applyAlignment="1">
      <alignment horizontal="left" vertical="center" wrapText="1"/>
    </xf>
    <xf numFmtId="3" fontId="64" fillId="0" borderId="1" xfId="0" applyNumberFormat="1" applyFont="1" applyBorder="1" applyAlignment="1" applyProtection="1">
      <alignment horizontal="left" vertical="center" wrapText="1"/>
      <protection locked="0"/>
    </xf>
    <xf numFmtId="3" fontId="64" fillId="28" borderId="26" xfId="0" applyNumberFormat="1" applyFont="1" applyFill="1" applyBorder="1" applyAlignment="1">
      <alignment vertical="center" wrapText="1"/>
    </xf>
    <xf numFmtId="3" fontId="64" fillId="28" borderId="26" xfId="0" applyNumberFormat="1" applyFont="1" applyFill="1" applyBorder="1" applyAlignment="1">
      <alignment horizontal="left" vertical="center" wrapText="1"/>
    </xf>
    <xf numFmtId="3" fontId="64" fillId="2" borderId="4" xfId="0" applyNumberFormat="1" applyFont="1" applyFill="1" applyBorder="1" applyAlignment="1">
      <alignment horizontal="center" vertical="center" wrapText="1"/>
    </xf>
    <xf numFmtId="3" fontId="34" fillId="29" borderId="1" xfId="0" applyNumberFormat="1" applyFont="1" applyFill="1" applyBorder="1" applyAlignment="1">
      <alignment horizontal="right" vertical="center" wrapText="1"/>
    </xf>
    <xf numFmtId="3" fontId="34" fillId="2" borderId="1" xfId="0" applyNumberFormat="1" applyFont="1" applyFill="1" applyBorder="1" applyAlignment="1">
      <alignment horizontal="right" vertical="center" wrapText="1"/>
    </xf>
    <xf numFmtId="3" fontId="64" fillId="2" borderId="1" xfId="0" applyNumberFormat="1" applyFont="1" applyFill="1" applyBorder="1" applyAlignment="1" applyProtection="1">
      <alignment horizontal="left" vertical="center" wrapText="1"/>
      <protection locked="0"/>
    </xf>
    <xf numFmtId="3" fontId="34" fillId="2" borderId="1" xfId="0" applyNumberFormat="1" applyFont="1" applyFill="1" applyBorder="1" applyAlignment="1" applyProtection="1">
      <alignment horizontal="left" vertical="center" wrapText="1"/>
      <protection locked="0"/>
    </xf>
    <xf numFmtId="3" fontId="64" fillId="0" borderId="1" xfId="0" applyNumberFormat="1" applyFont="1" applyBorder="1" applyAlignment="1">
      <alignment vertical="center" wrapText="1"/>
    </xf>
    <xf numFmtId="3" fontId="64" fillId="28" borderId="1" xfId="0" applyNumberFormat="1" applyFont="1" applyFill="1" applyBorder="1" applyAlignment="1">
      <alignment vertical="center" wrapText="1"/>
    </xf>
    <xf numFmtId="3" fontId="64" fillId="30" borderId="26" xfId="0" applyNumberFormat="1" applyFont="1" applyFill="1" applyBorder="1" applyAlignment="1">
      <alignment horizontal="left" vertical="center" wrapText="1"/>
    </xf>
    <xf numFmtId="3" fontId="34" fillId="0" borderId="0" xfId="0" applyNumberFormat="1" applyFont="1" applyAlignment="1">
      <alignment horizontal="center" vertical="center"/>
    </xf>
    <xf numFmtId="3" fontId="34" fillId="0" borderId="0" xfId="0" applyNumberFormat="1" applyFont="1" applyAlignment="1">
      <alignment horizontal="left" vertical="center" wrapText="1"/>
    </xf>
    <xf numFmtId="3" fontId="46" fillId="0" borderId="0" xfId="0" applyNumberFormat="1" applyFont="1" applyAlignment="1">
      <alignment horizontal="center" vertical="center"/>
    </xf>
    <xf numFmtId="49" fontId="66" fillId="28" borderId="1" xfId="1467" applyNumberFormat="1" applyFont="1" applyFill="1" applyBorder="1" applyAlignment="1">
      <alignment horizontal="center" vertical="center" wrapText="1"/>
    </xf>
    <xf numFmtId="4" fontId="40" fillId="0" borderId="0" xfId="0" applyNumberFormat="1" applyFont="1" applyAlignment="1">
      <alignment horizontal="center" vertical="center"/>
    </xf>
    <xf numFmtId="169" fontId="48" fillId="0" borderId="0" xfId="0" applyNumberFormat="1" applyFont="1" applyAlignment="1">
      <alignment horizontal="center" vertical="center"/>
    </xf>
    <xf numFmtId="3" fontId="54" fillId="0" borderId="1" xfId="0" applyNumberFormat="1" applyFont="1" applyBorder="1" applyAlignment="1">
      <alignment horizontal="center" vertical="center" wrapText="1"/>
    </xf>
    <xf numFmtId="3" fontId="54" fillId="0" borderId="4" xfId="0" applyNumberFormat="1" applyFont="1" applyBorder="1" applyAlignment="1">
      <alignment horizontal="center" vertical="center" wrapText="1"/>
    </xf>
    <xf numFmtId="3" fontId="54" fillId="0" borderId="7" xfId="0" applyNumberFormat="1" applyFont="1" applyBorder="1" applyAlignment="1">
      <alignment horizontal="center" vertical="center" wrapText="1"/>
    </xf>
    <xf numFmtId="3" fontId="54" fillId="0" borderId="6" xfId="0" applyNumberFormat="1" applyFont="1" applyBorder="1" applyAlignment="1">
      <alignment horizontal="center" vertical="center" wrapText="1"/>
    </xf>
    <xf numFmtId="3" fontId="54" fillId="0" borderId="4" xfId="0" applyNumberFormat="1" applyFont="1" applyBorder="1" applyAlignment="1" applyProtection="1">
      <alignment horizontal="center" vertical="center" wrapText="1"/>
      <protection locked="0"/>
    </xf>
    <xf numFmtId="3" fontId="54" fillId="0" borderId="7" xfId="0" applyNumberFormat="1" applyFont="1" applyBorder="1" applyAlignment="1" applyProtection="1">
      <alignment horizontal="center" vertical="center" wrapText="1"/>
      <protection locked="0"/>
    </xf>
    <xf numFmtId="3" fontId="54" fillId="0" borderId="6" xfId="0" applyNumberFormat="1" applyFont="1" applyBorder="1" applyAlignment="1" applyProtection="1">
      <alignment horizontal="center" vertical="center" wrapText="1"/>
      <protection locked="0"/>
    </xf>
    <xf numFmtId="3" fontId="51" fillId="2" borderId="4" xfId="0" applyNumberFormat="1" applyFont="1" applyFill="1" applyBorder="1" applyAlignment="1">
      <alignment horizontal="center" vertical="center" wrapText="1"/>
    </xf>
    <xf numFmtId="3" fontId="51" fillId="2" borderId="7" xfId="0" applyNumberFormat="1" applyFont="1" applyFill="1" applyBorder="1" applyAlignment="1">
      <alignment horizontal="center" vertical="center" wrapText="1"/>
    </xf>
    <xf numFmtId="3" fontId="51" fillId="2" borderId="6" xfId="0" applyNumberFormat="1" applyFont="1" applyFill="1" applyBorder="1" applyAlignment="1">
      <alignment horizontal="center" vertical="center" wrapText="1"/>
    </xf>
    <xf numFmtId="3" fontId="64" fillId="0" borderId="4" xfId="0" applyNumberFormat="1" applyFont="1" applyBorder="1" applyAlignment="1">
      <alignment horizontal="center" vertical="center" wrapText="1"/>
    </xf>
    <xf numFmtId="3" fontId="64" fillId="0" borderId="7" xfId="0" applyNumberFormat="1" applyFont="1" applyBorder="1" applyAlignment="1">
      <alignment horizontal="center" vertical="center" wrapText="1"/>
    </xf>
    <xf numFmtId="3" fontId="64" fillId="0" borderId="6" xfId="0" applyNumberFormat="1" applyFont="1" applyBorder="1" applyAlignment="1">
      <alignment horizontal="center" vertical="center" wrapText="1"/>
    </xf>
    <xf numFmtId="3" fontId="64" fillId="0" borderId="1" xfId="0" applyNumberFormat="1" applyFont="1" applyBorder="1" applyAlignment="1">
      <alignment horizontal="center" vertical="center" wrapText="1"/>
    </xf>
    <xf numFmtId="3" fontId="64" fillId="0" borderId="4" xfId="0" applyNumberFormat="1" applyFont="1" applyBorder="1" applyAlignment="1" applyProtection="1">
      <alignment horizontal="center" vertical="center" wrapText="1"/>
      <protection locked="0"/>
    </xf>
    <xf numFmtId="3" fontId="64" fillId="0" borderId="7" xfId="0" applyNumberFormat="1" applyFont="1" applyBorder="1" applyAlignment="1" applyProtection="1">
      <alignment horizontal="center" vertical="center" wrapText="1"/>
      <protection locked="0"/>
    </xf>
    <xf numFmtId="3" fontId="64" fillId="0" borderId="6" xfId="0" applyNumberFormat="1" applyFont="1" applyBorder="1" applyAlignment="1" applyProtection="1">
      <alignment horizontal="center" vertical="center" wrapText="1"/>
      <protection locked="0"/>
    </xf>
    <xf numFmtId="3" fontId="55" fillId="0" borderId="0" xfId="0" applyNumberFormat="1" applyFont="1" applyAlignment="1">
      <alignment horizontal="left" vertical="center"/>
    </xf>
    <xf numFmtId="3" fontId="64" fillId="2" borderId="4" xfId="0" applyNumberFormat="1" applyFont="1" applyFill="1" applyBorder="1" applyAlignment="1">
      <alignment horizontal="center" vertical="center" wrapText="1"/>
    </xf>
    <xf numFmtId="3" fontId="64" fillId="2" borderId="7" xfId="0" applyNumberFormat="1" applyFont="1" applyFill="1" applyBorder="1" applyAlignment="1">
      <alignment horizontal="center" vertical="center" wrapText="1"/>
    </xf>
    <xf numFmtId="3" fontId="64" fillId="2" borderId="6" xfId="0" applyNumberFormat="1" applyFont="1" applyFill="1" applyBorder="1" applyAlignment="1">
      <alignment horizontal="center" vertical="center" wrapText="1"/>
    </xf>
    <xf numFmtId="3" fontId="48" fillId="0" borderId="0" xfId="0" applyNumberFormat="1" applyFont="1" applyAlignment="1">
      <alignment horizontal="left" vertical="top" wrapText="1"/>
    </xf>
    <xf numFmtId="3" fontId="48" fillId="0" borderId="0" xfId="0" applyNumberFormat="1" applyFont="1" applyAlignment="1">
      <alignment horizontal="left" vertical="center" wrapText="1"/>
    </xf>
    <xf numFmtId="3" fontId="48" fillId="0" borderId="0" xfId="0" applyNumberFormat="1" applyFont="1" applyAlignment="1">
      <alignment horizontal="left" vertical="center"/>
    </xf>
    <xf numFmtId="0" fontId="48" fillId="0" borderId="0" xfId="1467" applyFont="1" applyAlignment="1">
      <alignment vertical="center" wrapText="1"/>
    </xf>
    <xf numFmtId="0" fontId="48" fillId="0" borderId="0" xfId="1467" applyFont="1" applyAlignment="1">
      <alignment horizontal="left" vertical="top" wrapText="1"/>
    </xf>
    <xf numFmtId="49" fontId="47" fillId="0" borderId="4" xfId="1" applyNumberFormat="1" applyFont="1" applyBorder="1" applyAlignment="1">
      <alignment horizontal="center" vertical="center"/>
    </xf>
    <xf numFmtId="49" fontId="47" fillId="0" borderId="7" xfId="1" applyNumberFormat="1" applyFont="1" applyBorder="1" applyAlignment="1">
      <alignment horizontal="center" vertical="center"/>
    </xf>
    <xf numFmtId="49" fontId="48" fillId="0" borderId="4" xfId="1" applyNumberFormat="1" applyFont="1" applyBorder="1" applyAlignment="1">
      <alignment horizontal="center" vertical="center"/>
    </xf>
    <xf numFmtId="49" fontId="48" fillId="0" borderId="7" xfId="1" applyNumberFormat="1" applyFont="1" applyBorder="1" applyAlignment="1">
      <alignment horizontal="center" vertical="center"/>
    </xf>
    <xf numFmtId="49" fontId="48" fillId="0" borderId="6" xfId="1" applyNumberFormat="1" applyFont="1" applyBorder="1" applyAlignment="1">
      <alignment horizontal="center" vertical="center"/>
    </xf>
    <xf numFmtId="49" fontId="47" fillId="0" borderId="6" xfId="1" applyNumberFormat="1" applyFont="1" applyBorder="1" applyAlignment="1">
      <alignment horizontal="center" vertical="center"/>
    </xf>
    <xf numFmtId="0" fontId="48" fillId="2" borderId="5" xfId="1" applyFont="1" applyFill="1" applyBorder="1" applyAlignment="1" applyProtection="1">
      <alignment horizontal="center" vertical="center"/>
      <protection locked="0"/>
    </xf>
    <xf numFmtId="0" fontId="48" fillId="2" borderId="12" xfId="1" applyFont="1" applyFill="1" applyBorder="1" applyAlignment="1" applyProtection="1">
      <alignment horizontal="center" vertical="center"/>
      <protection locked="0"/>
    </xf>
    <xf numFmtId="49" fontId="47" fillId="0" borderId="1" xfId="1" applyNumberFormat="1" applyFont="1" applyBorder="1" applyAlignment="1">
      <alignment horizontal="center" vertical="center"/>
    </xf>
    <xf numFmtId="49" fontId="34" fillId="0" borderId="4" xfId="1" applyNumberFormat="1" applyFont="1" applyBorder="1" applyAlignment="1">
      <alignment horizontal="center" vertical="center" wrapText="1"/>
    </xf>
    <xf numFmtId="49" fontId="34" fillId="0" borderId="7" xfId="1" applyNumberFormat="1" applyFont="1" applyBorder="1" applyAlignment="1">
      <alignment horizontal="center" vertical="center" wrapText="1"/>
    </xf>
    <xf numFmtId="49" fontId="47" fillId="0" borderId="4" xfId="6" applyNumberFormat="1" applyFont="1" applyBorder="1" applyAlignment="1">
      <alignment horizontal="center" vertical="center"/>
    </xf>
    <xf numFmtId="49" fontId="47" fillId="0" borderId="7" xfId="6" applyNumberFormat="1" applyFont="1" applyBorder="1" applyAlignment="1">
      <alignment horizontal="center" vertical="center"/>
    </xf>
    <xf numFmtId="49" fontId="47" fillId="0" borderId="6" xfId="6" applyNumberFormat="1" applyFont="1" applyBorder="1" applyAlignment="1">
      <alignment horizontal="center" vertical="center"/>
    </xf>
    <xf numFmtId="16" fontId="47" fillId="31" borderId="12" xfId="6" applyNumberFormat="1"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horizontal="left" vertical="top"/>
    </xf>
    <xf numFmtId="49" fontId="47" fillId="0" borderId="4" xfId="6" applyNumberFormat="1" applyFont="1" applyBorder="1" applyAlignment="1">
      <alignment horizontal="center" vertical="center" wrapText="1"/>
    </xf>
    <xf numFmtId="49" fontId="47" fillId="0" borderId="7" xfId="6" applyNumberFormat="1" applyFont="1" applyBorder="1" applyAlignment="1">
      <alignment horizontal="center" vertical="center" wrapText="1"/>
    </xf>
    <xf numFmtId="49" fontId="47" fillId="0" borderId="6" xfId="6" applyNumberFormat="1" applyFont="1" applyBorder="1" applyAlignment="1">
      <alignment horizontal="center" vertical="center" wrapText="1"/>
    </xf>
    <xf numFmtId="49" fontId="34" fillId="0" borderId="4" xfId="6" applyNumberFormat="1" applyFont="1" applyBorder="1" applyAlignment="1">
      <alignment horizontal="center" vertical="center" wrapText="1"/>
    </xf>
    <xf numFmtId="49" fontId="34" fillId="0" borderId="7" xfId="6" applyNumberFormat="1" applyFont="1" applyBorder="1" applyAlignment="1">
      <alignment horizontal="center" vertical="center" wrapText="1"/>
    </xf>
    <xf numFmtId="49" fontId="48" fillId="0" borderId="0" xfId="1" applyNumberFormat="1" applyFont="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Y180"/>
  <sheetViews>
    <sheetView view="pageBreakPreview" zoomScale="70" zoomScaleNormal="10" zoomScaleSheetLayoutView="70" zoomScalePageLayoutView="55" workbookViewId="0">
      <pane ySplit="1" topLeftCell="A142" activePane="bottomLeft" state="frozen"/>
      <selection pane="bottomLeft" activeCell="D175" sqref="D175"/>
    </sheetView>
  </sheetViews>
  <sheetFormatPr defaultColWidth="9.140625" defaultRowHeight="18.75" outlineLevelCol="1" x14ac:dyDescent="0.2"/>
  <cols>
    <col min="1" max="1" width="7.85546875" style="1" bestFit="1" customWidth="1"/>
    <col min="2" max="2" width="103.85546875" style="1" bestFit="1" customWidth="1"/>
    <col min="3" max="3" width="19.85546875" style="1" customWidth="1"/>
    <col min="4" max="5" width="19.85546875" style="5" customWidth="1"/>
    <col min="6" max="6" width="19.85546875" style="5" hidden="1" customWidth="1" outlineLevel="1"/>
    <col min="7" max="8" width="31.42578125" style="5" hidden="1" customWidth="1" outlineLevel="1"/>
    <col min="9" max="9" width="31.42578125" style="508" hidden="1" customWidth="1" outlineLevel="1"/>
    <col min="10" max="10" width="23.7109375" style="5" customWidth="1" collapsed="1"/>
    <col min="11" max="11" width="19.85546875" style="5" customWidth="1" outlineLevel="1"/>
    <col min="12" max="13" width="24.42578125" style="5" customWidth="1" outlineLevel="1"/>
    <col min="14" max="14" width="78.140625" style="5" customWidth="1" outlineLevel="1"/>
    <col min="15" max="15" width="19.85546875" style="5" customWidth="1"/>
    <col min="16" max="16" width="19.85546875" style="5" hidden="1" customWidth="1" outlineLevel="1"/>
    <col min="17" max="18" width="24.42578125" style="5" hidden="1" customWidth="1" outlineLevel="1"/>
    <col min="19" max="19" width="78.140625" style="5" hidden="1" customWidth="1" outlineLevel="1"/>
    <col min="20" max="20" width="19.85546875" style="5" customWidth="1" collapsed="1"/>
    <col min="21" max="21" width="19.85546875" style="5" hidden="1" customWidth="1" outlineLevel="1"/>
    <col min="22" max="23" width="24.42578125" style="5" hidden="1" customWidth="1" outlineLevel="1"/>
    <col min="24" max="24" width="78.140625" style="5" hidden="1" customWidth="1" outlineLevel="1"/>
    <col min="25" max="25" width="9.140625" style="1" collapsed="1"/>
    <col min="26" max="16384" width="9.140625" style="1"/>
  </cols>
  <sheetData>
    <row r="1" spans="1:24" ht="63" x14ac:dyDescent="0.2">
      <c r="A1" s="55" t="s">
        <v>0</v>
      </c>
      <c r="B1" s="29" t="s">
        <v>572</v>
      </c>
      <c r="C1" s="29" t="s">
        <v>637</v>
      </c>
      <c r="D1" s="29" t="s">
        <v>638</v>
      </c>
      <c r="E1" s="29" t="s">
        <v>639</v>
      </c>
      <c r="F1" s="29" t="s">
        <v>643</v>
      </c>
      <c r="G1" s="30" t="s">
        <v>409</v>
      </c>
      <c r="H1" s="31" t="s">
        <v>410</v>
      </c>
      <c r="I1" s="492" t="s">
        <v>700</v>
      </c>
      <c r="J1" s="29" t="s">
        <v>640</v>
      </c>
      <c r="K1" s="29" t="s">
        <v>703</v>
      </c>
      <c r="L1" s="30" t="s">
        <v>704</v>
      </c>
      <c r="M1" s="31" t="s">
        <v>705</v>
      </c>
      <c r="N1" s="29" t="s">
        <v>498</v>
      </c>
      <c r="O1" s="29" t="s">
        <v>641</v>
      </c>
      <c r="P1" s="29" t="s">
        <v>486</v>
      </c>
      <c r="Q1" s="30" t="s">
        <v>409</v>
      </c>
      <c r="R1" s="31" t="s">
        <v>410</v>
      </c>
      <c r="S1" s="29" t="s">
        <v>498</v>
      </c>
      <c r="T1" s="29" t="s">
        <v>642</v>
      </c>
      <c r="U1" s="29" t="s">
        <v>487</v>
      </c>
      <c r="V1" s="30" t="s">
        <v>409</v>
      </c>
      <c r="W1" s="31" t="s">
        <v>410</v>
      </c>
      <c r="X1" s="29" t="s">
        <v>498</v>
      </c>
    </row>
    <row r="2" spans="1:24" ht="12" customHeight="1" x14ac:dyDescent="0.2">
      <c r="A2" s="55">
        <v>1</v>
      </c>
      <c r="B2" s="29">
        <v>2</v>
      </c>
      <c r="C2" s="29">
        <v>3</v>
      </c>
      <c r="D2" s="29">
        <v>4</v>
      </c>
      <c r="E2" s="29">
        <v>5</v>
      </c>
      <c r="F2" s="29">
        <v>6</v>
      </c>
      <c r="G2" s="30">
        <v>7</v>
      </c>
      <c r="H2" s="32">
        <v>8</v>
      </c>
      <c r="I2" s="492">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ht="17.100000000000001" customHeight="1" x14ac:dyDescent="0.2">
      <c r="A3" s="348" t="s">
        <v>1</v>
      </c>
      <c r="B3" s="349" t="s">
        <v>2</v>
      </c>
      <c r="C3" s="350">
        <f>C4+C19+C22+C27+C28+C29+C30+C31</f>
        <v>12256127</v>
      </c>
      <c r="D3" s="350">
        <f>D4+D19+D22+D27+D28+D29+D30+D31</f>
        <v>12301909</v>
      </c>
      <c r="E3" s="350">
        <f>E4+E19+E22+E27+E28+E29+E30+E31</f>
        <v>2854457</v>
      </c>
      <c r="F3" s="350">
        <f>F4+F19+F22+F27+F28+F29+F30+F31</f>
        <v>2736969</v>
      </c>
      <c r="G3" s="351">
        <f>F3-E3</f>
        <v>-117488</v>
      </c>
      <c r="H3" s="352">
        <f>IFERROR(G3/ABS(E3), "-")</f>
        <v>-4.1159491980436211E-2</v>
      </c>
      <c r="I3" s="493"/>
      <c r="J3" s="350">
        <f>J4+J19+J22+J27+J28+J29+J30+J31</f>
        <v>5953914</v>
      </c>
      <c r="K3" s="350">
        <f>K4+K19+K22+K27+K28+K29+K30+K31</f>
        <v>0</v>
      </c>
      <c r="L3" s="351">
        <f>K3-J3</f>
        <v>-5953914</v>
      </c>
      <c r="M3" s="352">
        <f>IFERROR(L3/ABS(J3), "-")</f>
        <v>-1</v>
      </c>
      <c r="N3" s="353"/>
      <c r="O3" s="350">
        <f>O4+O19+O22+O27+O28+O29+O30+O31</f>
        <v>9124735</v>
      </c>
      <c r="P3" s="350">
        <f>P4+P19+P22+P27+P28+P29+P30+P31</f>
        <v>0</v>
      </c>
      <c r="Q3" s="351">
        <f>P3-O3</f>
        <v>-9124735</v>
      </c>
      <c r="R3" s="352">
        <f>IFERROR(Q3/ABS(O3), "-")</f>
        <v>-1</v>
      </c>
      <c r="S3" s="353"/>
      <c r="T3" s="350">
        <f>T4+T19+T22+T27+T28+T29+T30+T31</f>
        <v>12301909</v>
      </c>
      <c r="U3" s="350">
        <f>U4+U19+U22+U27+U28+U29+U30+U31</f>
        <v>0</v>
      </c>
      <c r="V3" s="351">
        <f>U3-T3</f>
        <v>-12301909</v>
      </c>
      <c r="W3" s="352">
        <f>IFERROR(V3/ABS(T3), "-")</f>
        <v>-1</v>
      </c>
      <c r="X3" s="353"/>
    </row>
    <row r="4" spans="1:24" s="2" customFormat="1" ht="17.100000000000001" customHeight="1" x14ac:dyDescent="0.2">
      <c r="A4" s="341" t="s">
        <v>94</v>
      </c>
      <c r="B4" s="330" t="s">
        <v>3</v>
      </c>
      <c r="C4" s="321">
        <f>C5+C10+C13+C16</f>
        <v>11507750</v>
      </c>
      <c r="D4" s="321">
        <f>D5+D10+D13+D16</f>
        <v>12002416</v>
      </c>
      <c r="E4" s="321">
        <f>E5+E10+E13+E16</f>
        <v>2777839</v>
      </c>
      <c r="F4" s="321">
        <f>F5+F10+F13+F16</f>
        <v>2659299</v>
      </c>
      <c r="G4" s="322">
        <f t="shared" ref="G4:G66" si="0">F4-E4</f>
        <v>-118540</v>
      </c>
      <c r="H4" s="323">
        <f t="shared" ref="H4:H66" si="1">IFERROR(G4/ABS(E4), "-")</f>
        <v>-4.2673459476953127E-2</v>
      </c>
      <c r="I4" s="494"/>
      <c r="J4" s="321">
        <f>J5+J10+J13+J16</f>
        <v>5804471</v>
      </c>
      <c r="K4" s="321">
        <f>K5+K10+K13+K16</f>
        <v>0</v>
      </c>
      <c r="L4" s="322">
        <f t="shared" ref="L4:L69" si="2">K4-J4</f>
        <v>-5804471</v>
      </c>
      <c r="M4" s="323">
        <f t="shared" ref="M4:M69" si="3">IFERROR(L4/ABS(J4), "-")</f>
        <v>-1</v>
      </c>
      <c r="N4" s="324"/>
      <c r="O4" s="321">
        <f>O5+O10+O13+O16</f>
        <v>8900567</v>
      </c>
      <c r="P4" s="321">
        <f>P5+P10+P13+P16</f>
        <v>0</v>
      </c>
      <c r="Q4" s="322">
        <f t="shared" ref="Q4:Q69" si="4">P4-O4</f>
        <v>-8900567</v>
      </c>
      <c r="R4" s="323">
        <f t="shared" ref="R4:R69" si="5">IFERROR(Q4/ABS(O4), "-")</f>
        <v>-1</v>
      </c>
      <c r="S4" s="324"/>
      <c r="T4" s="321">
        <f>T5+T10+T13+T16</f>
        <v>12002416</v>
      </c>
      <c r="U4" s="321">
        <f>U5+U10+U13+U16</f>
        <v>0</v>
      </c>
      <c r="V4" s="322">
        <f t="shared" ref="V4:V69" si="6">U4-T4</f>
        <v>-12002416</v>
      </c>
      <c r="W4" s="323">
        <f t="shared" ref="W4:W69" si="7">IFERROR(V4/ABS(T4), "-")</f>
        <v>-1</v>
      </c>
      <c r="X4" s="324"/>
    </row>
    <row r="5" spans="1:24" s="2" customFormat="1" ht="17.100000000000001" customHeight="1" x14ac:dyDescent="0.2">
      <c r="A5" s="205" t="s">
        <v>95</v>
      </c>
      <c r="B5" s="206" t="s">
        <v>96</v>
      </c>
      <c r="C5" s="202">
        <f t="shared" ref="C5:F5" si="8">SUM(C6:C9)</f>
        <v>9620284</v>
      </c>
      <c r="D5" s="202">
        <f t="shared" si="8"/>
        <v>9908357</v>
      </c>
      <c r="E5" s="202">
        <f t="shared" si="8"/>
        <v>2291202</v>
      </c>
      <c r="F5" s="202">
        <f t="shared" si="8"/>
        <v>2183323</v>
      </c>
      <c r="G5" s="203">
        <f t="shared" si="0"/>
        <v>-107879</v>
      </c>
      <c r="H5" s="204">
        <f t="shared" si="1"/>
        <v>-4.7084019654312449E-2</v>
      </c>
      <c r="I5" s="522" t="s">
        <v>701</v>
      </c>
      <c r="J5" s="202">
        <f t="shared" ref="J5:K5" si="9">SUM(J6:J9)</f>
        <v>4768869</v>
      </c>
      <c r="K5" s="202">
        <f t="shared" si="9"/>
        <v>0</v>
      </c>
      <c r="L5" s="203">
        <f t="shared" si="2"/>
        <v>-4768869</v>
      </c>
      <c r="M5" s="204">
        <f t="shared" si="3"/>
        <v>-1</v>
      </c>
      <c r="N5" s="513"/>
      <c r="O5" s="202">
        <f t="shared" ref="O5:P5" si="10">SUM(O6:O9)</f>
        <v>7338614</v>
      </c>
      <c r="P5" s="202">
        <f t="shared" si="10"/>
        <v>0</v>
      </c>
      <c r="Q5" s="203">
        <f t="shared" si="4"/>
        <v>-7338614</v>
      </c>
      <c r="R5" s="204">
        <f t="shared" si="5"/>
        <v>-1</v>
      </c>
      <c r="S5" s="513"/>
      <c r="T5" s="202">
        <f t="shared" ref="T5:U5" si="11">SUM(T6:T9)</f>
        <v>9908357</v>
      </c>
      <c r="U5" s="202">
        <f t="shared" si="11"/>
        <v>0</v>
      </c>
      <c r="V5" s="203">
        <f t="shared" si="6"/>
        <v>-9908357</v>
      </c>
      <c r="W5" s="204">
        <f t="shared" si="7"/>
        <v>-1</v>
      </c>
      <c r="X5" s="513"/>
    </row>
    <row r="6" spans="1:24" ht="17.100000000000001" customHeight="1" x14ac:dyDescent="0.2">
      <c r="A6" s="327" t="s">
        <v>97</v>
      </c>
      <c r="B6" s="97" t="s">
        <v>559</v>
      </c>
      <c r="C6" s="163">
        <v>7972982</v>
      </c>
      <c r="D6" s="163">
        <v>8303915</v>
      </c>
      <c r="E6" s="163">
        <v>1899717</v>
      </c>
      <c r="F6" s="163">
        <f>984+1651805+145226</f>
        <v>1798015</v>
      </c>
      <c r="G6" s="164">
        <f t="shared" si="0"/>
        <v>-101702</v>
      </c>
      <c r="H6" s="165">
        <f t="shared" si="1"/>
        <v>-5.3535342369416074E-2</v>
      </c>
      <c r="I6" s="523"/>
      <c r="J6" s="163">
        <v>3966648</v>
      </c>
      <c r="K6" s="163"/>
      <c r="L6" s="164">
        <f>K6-J6</f>
        <v>-3966648</v>
      </c>
      <c r="M6" s="165">
        <f t="shared" si="3"/>
        <v>-1</v>
      </c>
      <c r="N6" s="514"/>
      <c r="O6" s="163">
        <v>6135282</v>
      </c>
      <c r="P6" s="163"/>
      <c r="Q6" s="164">
        <f t="shared" si="4"/>
        <v>-6135282</v>
      </c>
      <c r="R6" s="165">
        <f t="shared" si="5"/>
        <v>-1</v>
      </c>
      <c r="S6" s="514"/>
      <c r="T6" s="163">
        <f>D6</f>
        <v>8303915</v>
      </c>
      <c r="U6" s="163"/>
      <c r="V6" s="164">
        <f t="shared" si="6"/>
        <v>-8303915</v>
      </c>
      <c r="W6" s="165">
        <f t="shared" si="7"/>
        <v>-1</v>
      </c>
      <c r="X6" s="514"/>
    </row>
    <row r="7" spans="1:24" ht="17.100000000000001" customHeight="1" x14ac:dyDescent="0.2">
      <c r="A7" s="327" t="s">
        <v>98</v>
      </c>
      <c r="B7" s="97" t="s">
        <v>558</v>
      </c>
      <c r="C7" s="163">
        <v>685878</v>
      </c>
      <c r="D7" s="163">
        <f>782693-92693</f>
        <v>690000</v>
      </c>
      <c r="E7" s="163">
        <f t="shared" ref="E7:E12" si="12">ROUND(D7/4,0)</f>
        <v>172500</v>
      </c>
      <c r="F7" s="163">
        <f>152351+8197</f>
        <v>160548</v>
      </c>
      <c r="G7" s="164">
        <f t="shared" si="0"/>
        <v>-11952</v>
      </c>
      <c r="H7" s="165">
        <f t="shared" si="1"/>
        <v>-6.9286956521739135E-2</v>
      </c>
      <c r="I7" s="523"/>
      <c r="J7" s="163">
        <f t="shared" ref="J7:J12" si="13">ROUND(D7/2,0)</f>
        <v>345000</v>
      </c>
      <c r="K7" s="163"/>
      <c r="L7" s="164">
        <f t="shared" si="2"/>
        <v>-345000</v>
      </c>
      <c r="M7" s="165">
        <f t="shared" si="3"/>
        <v>-1</v>
      </c>
      <c r="N7" s="514"/>
      <c r="O7" s="163">
        <f t="shared" ref="O7:O14" si="14">ROUND(D7/4*3,0)</f>
        <v>517500</v>
      </c>
      <c r="P7" s="163"/>
      <c r="Q7" s="164">
        <f t="shared" si="4"/>
        <v>-517500</v>
      </c>
      <c r="R7" s="165">
        <f t="shared" si="5"/>
        <v>-1</v>
      </c>
      <c r="S7" s="514"/>
      <c r="T7" s="163">
        <f t="shared" ref="T7:T9" si="15">D7</f>
        <v>690000</v>
      </c>
      <c r="U7" s="163"/>
      <c r="V7" s="164">
        <f t="shared" si="6"/>
        <v>-690000</v>
      </c>
      <c r="W7" s="165">
        <f t="shared" si="7"/>
        <v>-1</v>
      </c>
      <c r="X7" s="514"/>
    </row>
    <row r="8" spans="1:24" ht="17.100000000000001" customHeight="1" x14ac:dyDescent="0.2">
      <c r="A8" s="327" t="s">
        <v>99</v>
      </c>
      <c r="B8" s="97" t="s">
        <v>557</v>
      </c>
      <c r="C8" s="163">
        <v>899733</v>
      </c>
      <c r="D8" s="163">
        <v>853442</v>
      </c>
      <c r="E8" s="163">
        <v>203735</v>
      </c>
      <c r="F8" s="163">
        <f>206117+439</f>
        <v>206556</v>
      </c>
      <c r="G8" s="164">
        <f t="shared" si="0"/>
        <v>2821</v>
      </c>
      <c r="H8" s="165">
        <f t="shared" si="1"/>
        <v>1.384641814121285E-2</v>
      </c>
      <c r="I8" s="523"/>
      <c r="J8" s="163">
        <f t="shared" si="13"/>
        <v>426721</v>
      </c>
      <c r="K8" s="163"/>
      <c r="L8" s="164">
        <f t="shared" si="2"/>
        <v>-426721</v>
      </c>
      <c r="M8" s="165">
        <f t="shared" si="3"/>
        <v>-1</v>
      </c>
      <c r="N8" s="514"/>
      <c r="O8" s="163">
        <f t="shared" si="14"/>
        <v>640082</v>
      </c>
      <c r="P8" s="163"/>
      <c r="Q8" s="164">
        <f t="shared" si="4"/>
        <v>-640082</v>
      </c>
      <c r="R8" s="165">
        <f t="shared" si="5"/>
        <v>-1</v>
      </c>
      <c r="S8" s="514"/>
      <c r="T8" s="163">
        <f t="shared" si="15"/>
        <v>853442</v>
      </c>
      <c r="U8" s="163"/>
      <c r="V8" s="164">
        <f t="shared" si="6"/>
        <v>-853442</v>
      </c>
      <c r="W8" s="165">
        <f t="shared" si="7"/>
        <v>-1</v>
      </c>
      <c r="X8" s="514"/>
    </row>
    <row r="9" spans="1:24" ht="17.100000000000001" customHeight="1" x14ac:dyDescent="0.2">
      <c r="A9" s="327" t="s">
        <v>100</v>
      </c>
      <c r="B9" s="97" t="s">
        <v>556</v>
      </c>
      <c r="C9" s="163">
        <v>61691</v>
      </c>
      <c r="D9" s="163">
        <v>61000</v>
      </c>
      <c r="E9" s="163">
        <f t="shared" si="12"/>
        <v>15250</v>
      </c>
      <c r="F9" s="163">
        <v>18204</v>
      </c>
      <c r="G9" s="164">
        <f t="shared" si="0"/>
        <v>2954</v>
      </c>
      <c r="H9" s="165">
        <f t="shared" si="1"/>
        <v>0.19370491803278689</v>
      </c>
      <c r="I9" s="524"/>
      <c r="J9" s="163">
        <f t="shared" si="13"/>
        <v>30500</v>
      </c>
      <c r="K9" s="163"/>
      <c r="L9" s="164">
        <f t="shared" si="2"/>
        <v>-30500</v>
      </c>
      <c r="M9" s="165">
        <f t="shared" si="3"/>
        <v>-1</v>
      </c>
      <c r="N9" s="515"/>
      <c r="O9" s="163">
        <f t="shared" si="14"/>
        <v>45750</v>
      </c>
      <c r="P9" s="163"/>
      <c r="Q9" s="164">
        <f t="shared" si="4"/>
        <v>-45750</v>
      </c>
      <c r="R9" s="165">
        <f t="shared" si="5"/>
        <v>-1</v>
      </c>
      <c r="S9" s="515"/>
      <c r="T9" s="163">
        <f t="shared" si="15"/>
        <v>61000</v>
      </c>
      <c r="U9" s="163"/>
      <c r="V9" s="164">
        <f t="shared" si="6"/>
        <v>-61000</v>
      </c>
      <c r="W9" s="165">
        <f t="shared" si="7"/>
        <v>-1</v>
      </c>
      <c r="X9" s="515"/>
    </row>
    <row r="10" spans="1:24" ht="17.100000000000001" customHeight="1" x14ac:dyDescent="0.2">
      <c r="A10" s="205" t="s">
        <v>101</v>
      </c>
      <c r="B10" s="206" t="s">
        <v>102</v>
      </c>
      <c r="C10" s="202">
        <f t="shared" ref="C10:F10" si="16">SUM(C11:C12)</f>
        <v>1427809</v>
      </c>
      <c r="D10" s="202">
        <f t="shared" si="16"/>
        <v>1686029</v>
      </c>
      <c r="E10" s="202">
        <f t="shared" si="16"/>
        <v>392503</v>
      </c>
      <c r="F10" s="202">
        <f t="shared" si="16"/>
        <v>378361</v>
      </c>
      <c r="G10" s="203">
        <f t="shared" si="0"/>
        <v>-14142</v>
      </c>
      <c r="H10" s="204">
        <f t="shared" si="1"/>
        <v>-3.603029785759599E-2</v>
      </c>
      <c r="I10" s="522"/>
      <c r="J10" s="202">
        <f t="shared" ref="J10:K10" si="17">SUM(J11:J12)</f>
        <v>834515</v>
      </c>
      <c r="K10" s="202">
        <f t="shared" si="17"/>
        <v>0</v>
      </c>
      <c r="L10" s="203">
        <f t="shared" si="2"/>
        <v>-834515</v>
      </c>
      <c r="M10" s="204">
        <f t="shared" si="3"/>
        <v>-1</v>
      </c>
      <c r="N10" s="513"/>
      <c r="O10" s="202">
        <f t="shared" ref="O10:P10" si="18">SUM(O11:O12)</f>
        <v>1255930</v>
      </c>
      <c r="P10" s="202">
        <f t="shared" si="18"/>
        <v>0</v>
      </c>
      <c r="Q10" s="203">
        <f t="shared" si="4"/>
        <v>-1255930</v>
      </c>
      <c r="R10" s="204">
        <f t="shared" si="5"/>
        <v>-1</v>
      </c>
      <c r="S10" s="513"/>
      <c r="T10" s="202">
        <f t="shared" ref="T10:U10" si="19">SUM(T11:T12)</f>
        <v>1686029</v>
      </c>
      <c r="U10" s="202">
        <f t="shared" si="19"/>
        <v>0</v>
      </c>
      <c r="V10" s="203">
        <f t="shared" si="6"/>
        <v>-1686029</v>
      </c>
      <c r="W10" s="204">
        <f t="shared" si="7"/>
        <v>-1</v>
      </c>
      <c r="X10" s="513"/>
    </row>
    <row r="11" spans="1:24" ht="17.100000000000001" customHeight="1" x14ac:dyDescent="0.2">
      <c r="A11" s="327" t="s">
        <v>103</v>
      </c>
      <c r="B11" s="97" t="s">
        <v>104</v>
      </c>
      <c r="C11" s="163">
        <v>1245688</v>
      </c>
      <c r="D11" s="163">
        <f>ROUND(98*40.57*365,0)</f>
        <v>1451189</v>
      </c>
      <c r="E11" s="163">
        <v>333793</v>
      </c>
      <c r="F11" s="163">
        <v>319452</v>
      </c>
      <c r="G11" s="164">
        <f t="shared" si="0"/>
        <v>-14341</v>
      </c>
      <c r="H11" s="165">
        <f t="shared" si="1"/>
        <v>-4.2963752984634188E-2</v>
      </c>
      <c r="I11" s="523"/>
      <c r="J11" s="163">
        <v>717095</v>
      </c>
      <c r="K11" s="163"/>
      <c r="L11" s="164">
        <f t="shared" si="2"/>
        <v>-717095</v>
      </c>
      <c r="M11" s="165">
        <f t="shared" si="3"/>
        <v>-1</v>
      </c>
      <c r="N11" s="514"/>
      <c r="O11" s="163">
        <v>1079800</v>
      </c>
      <c r="P11" s="163"/>
      <c r="Q11" s="164">
        <f t="shared" si="4"/>
        <v>-1079800</v>
      </c>
      <c r="R11" s="165">
        <f t="shared" si="5"/>
        <v>-1</v>
      </c>
      <c r="S11" s="514"/>
      <c r="T11" s="163">
        <f>D11</f>
        <v>1451189</v>
      </c>
      <c r="U11" s="163"/>
      <c r="V11" s="164">
        <f t="shared" si="6"/>
        <v>-1451189</v>
      </c>
      <c r="W11" s="165">
        <f t="shared" si="7"/>
        <v>-1</v>
      </c>
      <c r="X11" s="514"/>
    </row>
    <row r="12" spans="1:24" ht="17.100000000000001" customHeight="1" x14ac:dyDescent="0.2">
      <c r="A12" s="327" t="s">
        <v>105</v>
      </c>
      <c r="B12" s="97" t="s">
        <v>106</v>
      </c>
      <c r="C12" s="163">
        <v>182121</v>
      </c>
      <c r="D12" s="163">
        <v>234840</v>
      </c>
      <c r="E12" s="163">
        <f t="shared" si="12"/>
        <v>58710</v>
      </c>
      <c r="F12" s="163">
        <v>58909</v>
      </c>
      <c r="G12" s="164">
        <f t="shared" si="0"/>
        <v>199</v>
      </c>
      <c r="H12" s="165">
        <f t="shared" si="1"/>
        <v>3.3895418157043095E-3</v>
      </c>
      <c r="I12" s="524"/>
      <c r="J12" s="163">
        <f t="shared" si="13"/>
        <v>117420</v>
      </c>
      <c r="K12" s="163"/>
      <c r="L12" s="164">
        <f t="shared" si="2"/>
        <v>-117420</v>
      </c>
      <c r="M12" s="165">
        <f t="shared" si="3"/>
        <v>-1</v>
      </c>
      <c r="N12" s="515"/>
      <c r="O12" s="163">
        <f t="shared" si="14"/>
        <v>176130</v>
      </c>
      <c r="P12" s="163"/>
      <c r="Q12" s="164">
        <f t="shared" si="4"/>
        <v>-176130</v>
      </c>
      <c r="R12" s="165">
        <f t="shared" si="5"/>
        <v>-1</v>
      </c>
      <c r="S12" s="515"/>
      <c r="T12" s="163">
        <f>D12</f>
        <v>234840</v>
      </c>
      <c r="U12" s="163"/>
      <c r="V12" s="164">
        <f t="shared" si="6"/>
        <v>-234840</v>
      </c>
      <c r="W12" s="165">
        <f t="shared" si="7"/>
        <v>-1</v>
      </c>
      <c r="X12" s="515"/>
    </row>
    <row r="13" spans="1:24" ht="17.100000000000001" customHeight="1" x14ac:dyDescent="0.2">
      <c r="A13" s="205" t="s">
        <v>107</v>
      </c>
      <c r="B13" s="206" t="s">
        <v>551</v>
      </c>
      <c r="C13" s="202">
        <f t="shared" ref="C13:F13" si="20">SUM(C14:C15)</f>
        <v>459657</v>
      </c>
      <c r="D13" s="202">
        <f t="shared" si="20"/>
        <v>408030</v>
      </c>
      <c r="E13" s="202">
        <f t="shared" si="20"/>
        <v>94134</v>
      </c>
      <c r="F13" s="202">
        <f t="shared" si="20"/>
        <v>97615</v>
      </c>
      <c r="G13" s="203">
        <f t="shared" si="0"/>
        <v>3481</v>
      </c>
      <c r="H13" s="204">
        <f t="shared" si="1"/>
        <v>3.6979199864023628E-2</v>
      </c>
      <c r="I13" s="522"/>
      <c r="J13" s="202">
        <f t="shared" ref="J13:K13" si="21">SUM(J14:J15)</f>
        <v>201087</v>
      </c>
      <c r="K13" s="202">
        <f t="shared" si="21"/>
        <v>0</v>
      </c>
      <c r="L13" s="203">
        <f t="shared" si="2"/>
        <v>-201087</v>
      </c>
      <c r="M13" s="204">
        <f t="shared" si="3"/>
        <v>-1</v>
      </c>
      <c r="N13" s="513"/>
      <c r="O13" s="202">
        <f t="shared" ref="O13:P13" si="22">SUM(O14:O15)</f>
        <v>306023</v>
      </c>
      <c r="P13" s="202">
        <f t="shared" si="22"/>
        <v>0</v>
      </c>
      <c r="Q13" s="203">
        <f t="shared" si="4"/>
        <v>-306023</v>
      </c>
      <c r="R13" s="204">
        <f t="shared" si="5"/>
        <v>-1</v>
      </c>
      <c r="S13" s="513"/>
      <c r="T13" s="202">
        <f t="shared" ref="T13:U13" si="23">SUM(T14:T15)</f>
        <v>408030</v>
      </c>
      <c r="U13" s="202">
        <f t="shared" si="23"/>
        <v>0</v>
      </c>
      <c r="V13" s="203">
        <f t="shared" si="6"/>
        <v>-408030</v>
      </c>
      <c r="W13" s="204">
        <f t="shared" si="7"/>
        <v>-1</v>
      </c>
      <c r="X13" s="513"/>
    </row>
    <row r="14" spans="1:24" ht="17.100000000000001" customHeight="1" x14ac:dyDescent="0.2">
      <c r="A14" s="327" t="s">
        <v>109</v>
      </c>
      <c r="B14" s="97" t="s">
        <v>110</v>
      </c>
      <c r="C14" s="163">
        <v>459657</v>
      </c>
      <c r="D14" s="163">
        <v>408030</v>
      </c>
      <c r="E14" s="163">
        <v>94134</v>
      </c>
      <c r="F14" s="163">
        <v>97615</v>
      </c>
      <c r="G14" s="164">
        <f t="shared" si="0"/>
        <v>3481</v>
      </c>
      <c r="H14" s="165">
        <f t="shared" si="1"/>
        <v>3.6979199864023628E-2</v>
      </c>
      <c r="I14" s="523"/>
      <c r="J14" s="163">
        <v>201087</v>
      </c>
      <c r="K14" s="163"/>
      <c r="L14" s="164">
        <f t="shared" si="2"/>
        <v>-201087</v>
      </c>
      <c r="M14" s="165">
        <f t="shared" si="3"/>
        <v>-1</v>
      </c>
      <c r="N14" s="514"/>
      <c r="O14" s="163">
        <f t="shared" si="14"/>
        <v>306023</v>
      </c>
      <c r="P14" s="163"/>
      <c r="Q14" s="164">
        <f t="shared" si="4"/>
        <v>-306023</v>
      </c>
      <c r="R14" s="165">
        <f t="shared" si="5"/>
        <v>-1</v>
      </c>
      <c r="S14" s="514"/>
      <c r="T14" s="163">
        <f>D14</f>
        <v>408030</v>
      </c>
      <c r="U14" s="163"/>
      <c r="V14" s="164">
        <f t="shared" si="6"/>
        <v>-408030</v>
      </c>
      <c r="W14" s="165">
        <f t="shared" si="7"/>
        <v>-1</v>
      </c>
      <c r="X14" s="514"/>
    </row>
    <row r="15" spans="1:24" ht="17.100000000000001" customHeight="1" x14ac:dyDescent="0.2">
      <c r="A15" s="327" t="s">
        <v>111</v>
      </c>
      <c r="B15" s="97" t="s">
        <v>552</v>
      </c>
      <c r="C15" s="163"/>
      <c r="D15" s="163"/>
      <c r="E15" s="163"/>
      <c r="F15" s="163"/>
      <c r="G15" s="164">
        <f t="shared" si="0"/>
        <v>0</v>
      </c>
      <c r="H15" s="165" t="str">
        <f t="shared" si="1"/>
        <v>-</v>
      </c>
      <c r="I15" s="524"/>
      <c r="J15" s="163"/>
      <c r="K15" s="163"/>
      <c r="L15" s="164">
        <f t="shared" si="2"/>
        <v>0</v>
      </c>
      <c r="M15" s="165" t="str">
        <f t="shared" si="3"/>
        <v>-</v>
      </c>
      <c r="N15" s="515"/>
      <c r="O15" s="163"/>
      <c r="P15" s="163"/>
      <c r="Q15" s="164">
        <f t="shared" si="4"/>
        <v>0</v>
      </c>
      <c r="R15" s="165" t="str">
        <f t="shared" si="5"/>
        <v>-</v>
      </c>
      <c r="S15" s="515"/>
      <c r="T15" s="163"/>
      <c r="U15" s="163"/>
      <c r="V15" s="164">
        <f t="shared" si="6"/>
        <v>0</v>
      </c>
      <c r="W15" s="165" t="str">
        <f t="shared" si="7"/>
        <v>-</v>
      </c>
      <c r="X15" s="515"/>
    </row>
    <row r="16" spans="1:24" ht="17.100000000000001" customHeight="1" x14ac:dyDescent="0.2">
      <c r="A16" s="205" t="s">
        <v>112</v>
      </c>
      <c r="B16" s="206" t="s">
        <v>84</v>
      </c>
      <c r="C16" s="202">
        <f>SUM(C17:C18)</f>
        <v>0</v>
      </c>
      <c r="D16" s="202">
        <f>SUM(D17:D18)</f>
        <v>0</v>
      </c>
      <c r="E16" s="202">
        <f>SUM(E17:E18)</f>
        <v>0</v>
      </c>
      <c r="F16" s="202">
        <f>SUM(F17:F18)</f>
        <v>0</v>
      </c>
      <c r="G16" s="203">
        <f t="shared" si="0"/>
        <v>0</v>
      </c>
      <c r="H16" s="204" t="str">
        <f t="shared" si="1"/>
        <v>-</v>
      </c>
      <c r="I16" s="522"/>
      <c r="J16" s="202">
        <f>SUM(J17:J18)</f>
        <v>0</v>
      </c>
      <c r="K16" s="202">
        <f>SUM(K17:K18)</f>
        <v>0</v>
      </c>
      <c r="L16" s="203">
        <f t="shared" si="2"/>
        <v>0</v>
      </c>
      <c r="M16" s="204" t="str">
        <f t="shared" si="3"/>
        <v>-</v>
      </c>
      <c r="N16" s="513"/>
      <c r="O16" s="202">
        <f>SUM(O17:O18)</f>
        <v>0</v>
      </c>
      <c r="P16" s="202">
        <f>SUM(P17:P18)</f>
        <v>0</v>
      </c>
      <c r="Q16" s="203">
        <f t="shared" si="4"/>
        <v>0</v>
      </c>
      <c r="R16" s="204" t="str">
        <f t="shared" si="5"/>
        <v>-</v>
      </c>
      <c r="S16" s="513"/>
      <c r="T16" s="202">
        <f>SUM(T17:T18)</f>
        <v>0</v>
      </c>
      <c r="U16" s="202">
        <f>SUM(U17:U18)</f>
        <v>0</v>
      </c>
      <c r="V16" s="203">
        <f t="shared" si="6"/>
        <v>0</v>
      </c>
      <c r="W16" s="204" t="str">
        <f t="shared" si="7"/>
        <v>-</v>
      </c>
      <c r="X16" s="513"/>
    </row>
    <row r="17" spans="1:24" ht="17.100000000000001" customHeight="1" x14ac:dyDescent="0.2">
      <c r="A17" s="327" t="s">
        <v>113</v>
      </c>
      <c r="B17" s="166" t="s">
        <v>560</v>
      </c>
      <c r="C17" s="167"/>
      <c r="D17" s="163"/>
      <c r="E17" s="163"/>
      <c r="F17" s="163"/>
      <c r="G17" s="164">
        <f t="shared" si="0"/>
        <v>0</v>
      </c>
      <c r="H17" s="165" t="str">
        <f t="shared" si="1"/>
        <v>-</v>
      </c>
      <c r="I17" s="523"/>
      <c r="J17" s="163"/>
      <c r="K17" s="163"/>
      <c r="L17" s="164">
        <f t="shared" si="2"/>
        <v>0</v>
      </c>
      <c r="M17" s="165" t="str">
        <f t="shared" si="3"/>
        <v>-</v>
      </c>
      <c r="N17" s="514"/>
      <c r="O17" s="163"/>
      <c r="P17" s="163"/>
      <c r="Q17" s="164">
        <f t="shared" si="4"/>
        <v>0</v>
      </c>
      <c r="R17" s="165" t="str">
        <f t="shared" si="5"/>
        <v>-</v>
      </c>
      <c r="S17" s="514"/>
      <c r="T17" s="163"/>
      <c r="U17" s="163"/>
      <c r="V17" s="164">
        <f t="shared" si="6"/>
        <v>0</v>
      </c>
      <c r="W17" s="165" t="str">
        <f t="shared" si="7"/>
        <v>-</v>
      </c>
      <c r="X17" s="514"/>
    </row>
    <row r="18" spans="1:24" ht="17.100000000000001" customHeight="1" x14ac:dyDescent="0.2">
      <c r="A18" s="327" t="s">
        <v>114</v>
      </c>
      <c r="B18" s="97" t="s">
        <v>561</v>
      </c>
      <c r="C18" s="163"/>
      <c r="D18" s="163"/>
      <c r="E18" s="163"/>
      <c r="F18" s="163"/>
      <c r="G18" s="164">
        <f t="shared" si="0"/>
        <v>0</v>
      </c>
      <c r="H18" s="165" t="str">
        <f t="shared" si="1"/>
        <v>-</v>
      </c>
      <c r="I18" s="523"/>
      <c r="J18" s="163"/>
      <c r="K18" s="163"/>
      <c r="L18" s="164">
        <f t="shared" si="2"/>
        <v>0</v>
      </c>
      <c r="M18" s="165" t="str">
        <f t="shared" si="3"/>
        <v>-</v>
      </c>
      <c r="N18" s="514"/>
      <c r="O18" s="163"/>
      <c r="P18" s="163"/>
      <c r="Q18" s="164">
        <f t="shared" si="4"/>
        <v>0</v>
      </c>
      <c r="R18" s="165" t="str">
        <f t="shared" si="5"/>
        <v>-</v>
      </c>
      <c r="S18" s="514"/>
      <c r="T18" s="163"/>
      <c r="U18" s="163"/>
      <c r="V18" s="164">
        <f t="shared" si="6"/>
        <v>0</v>
      </c>
      <c r="W18" s="165" t="str">
        <f t="shared" si="7"/>
        <v>-</v>
      </c>
      <c r="X18" s="514"/>
    </row>
    <row r="19" spans="1:24" s="2" customFormat="1" ht="17.100000000000001" customHeight="1" x14ac:dyDescent="0.2">
      <c r="A19" s="205" t="s">
        <v>115</v>
      </c>
      <c r="B19" s="206" t="s">
        <v>463</v>
      </c>
      <c r="C19" s="202">
        <f t="shared" ref="C19:F19" si="24">SUM(C20:C21)</f>
        <v>0</v>
      </c>
      <c r="D19" s="202">
        <f t="shared" si="24"/>
        <v>0</v>
      </c>
      <c r="E19" s="202">
        <f t="shared" si="24"/>
        <v>0</v>
      </c>
      <c r="F19" s="202">
        <f t="shared" si="24"/>
        <v>0</v>
      </c>
      <c r="G19" s="203">
        <f t="shared" si="0"/>
        <v>0</v>
      </c>
      <c r="H19" s="204" t="str">
        <f t="shared" si="1"/>
        <v>-</v>
      </c>
      <c r="I19" s="522"/>
      <c r="J19" s="202">
        <f t="shared" ref="J19:K19" si="25">SUM(J20:J21)</f>
        <v>0</v>
      </c>
      <c r="K19" s="202">
        <f t="shared" si="25"/>
        <v>0</v>
      </c>
      <c r="L19" s="203">
        <f t="shared" si="2"/>
        <v>0</v>
      </c>
      <c r="M19" s="204" t="str">
        <f t="shared" si="3"/>
        <v>-</v>
      </c>
      <c r="N19" s="513"/>
      <c r="O19" s="202">
        <f t="shared" ref="O19:P19" si="26">SUM(O20:O21)</f>
        <v>0</v>
      </c>
      <c r="P19" s="202">
        <f t="shared" si="26"/>
        <v>0</v>
      </c>
      <c r="Q19" s="203">
        <f t="shared" si="4"/>
        <v>0</v>
      </c>
      <c r="R19" s="204" t="str">
        <f t="shared" si="5"/>
        <v>-</v>
      </c>
      <c r="S19" s="513"/>
      <c r="T19" s="202">
        <f t="shared" ref="T19:U19" si="27">SUM(T20:T21)</f>
        <v>0</v>
      </c>
      <c r="U19" s="202">
        <f t="shared" si="27"/>
        <v>0</v>
      </c>
      <c r="V19" s="203">
        <f t="shared" si="6"/>
        <v>0</v>
      </c>
      <c r="W19" s="204" t="str">
        <f t="shared" si="7"/>
        <v>-</v>
      </c>
      <c r="X19" s="513"/>
    </row>
    <row r="20" spans="1:24" ht="17.100000000000001" customHeight="1" x14ac:dyDescent="0.2">
      <c r="A20" s="327" t="s">
        <v>464</v>
      </c>
      <c r="B20" s="97" t="s">
        <v>331</v>
      </c>
      <c r="C20" s="163"/>
      <c r="D20" s="163"/>
      <c r="E20" s="163"/>
      <c r="F20" s="163"/>
      <c r="G20" s="164">
        <f t="shared" si="0"/>
        <v>0</v>
      </c>
      <c r="H20" s="165" t="str">
        <f t="shared" si="1"/>
        <v>-</v>
      </c>
      <c r="I20" s="523"/>
      <c r="J20" s="163"/>
      <c r="K20" s="163"/>
      <c r="L20" s="164">
        <f t="shared" si="2"/>
        <v>0</v>
      </c>
      <c r="M20" s="165" t="str">
        <f t="shared" si="3"/>
        <v>-</v>
      </c>
      <c r="N20" s="514"/>
      <c r="O20" s="163"/>
      <c r="P20" s="163"/>
      <c r="Q20" s="164">
        <f t="shared" si="4"/>
        <v>0</v>
      </c>
      <c r="R20" s="165" t="str">
        <f t="shared" si="5"/>
        <v>-</v>
      </c>
      <c r="S20" s="514"/>
      <c r="T20" s="163"/>
      <c r="U20" s="163"/>
      <c r="V20" s="164">
        <f t="shared" si="6"/>
        <v>0</v>
      </c>
      <c r="W20" s="165" t="str">
        <f t="shared" si="7"/>
        <v>-</v>
      </c>
      <c r="X20" s="514"/>
    </row>
    <row r="21" spans="1:24" ht="17.100000000000001" customHeight="1" x14ac:dyDescent="0.2">
      <c r="A21" s="327" t="s">
        <v>465</v>
      </c>
      <c r="B21" s="97" t="s">
        <v>332</v>
      </c>
      <c r="C21" s="163"/>
      <c r="D21" s="163"/>
      <c r="E21" s="163"/>
      <c r="F21" s="163"/>
      <c r="G21" s="164">
        <f t="shared" si="0"/>
        <v>0</v>
      </c>
      <c r="H21" s="165" t="str">
        <f t="shared" si="1"/>
        <v>-</v>
      </c>
      <c r="I21" s="524"/>
      <c r="J21" s="163"/>
      <c r="K21" s="163"/>
      <c r="L21" s="164">
        <f t="shared" si="2"/>
        <v>0</v>
      </c>
      <c r="M21" s="165" t="str">
        <f t="shared" si="3"/>
        <v>-</v>
      </c>
      <c r="N21" s="515"/>
      <c r="O21" s="163"/>
      <c r="P21" s="163"/>
      <c r="Q21" s="164">
        <f t="shared" si="4"/>
        <v>0</v>
      </c>
      <c r="R21" s="165" t="str">
        <f t="shared" si="5"/>
        <v>-</v>
      </c>
      <c r="S21" s="515"/>
      <c r="T21" s="163"/>
      <c r="U21" s="163"/>
      <c r="V21" s="164">
        <f t="shared" si="6"/>
        <v>0</v>
      </c>
      <c r="W21" s="165" t="str">
        <f t="shared" si="7"/>
        <v>-</v>
      </c>
      <c r="X21" s="515"/>
    </row>
    <row r="22" spans="1:24" s="2" customFormat="1" ht="17.100000000000001" customHeight="1" x14ac:dyDescent="0.2">
      <c r="A22" s="205" t="s">
        <v>116</v>
      </c>
      <c r="B22" s="206" t="s">
        <v>153</v>
      </c>
      <c r="C22" s="202">
        <f>SUM(C23:C26)</f>
        <v>242870</v>
      </c>
      <c r="D22" s="202">
        <f>SUM(D23:D26)</f>
        <v>237993</v>
      </c>
      <c r="E22" s="202">
        <f t="shared" ref="E22:F22" si="28">SUM(E23:E26)</f>
        <v>61493</v>
      </c>
      <c r="F22" s="202">
        <f t="shared" si="28"/>
        <v>62339</v>
      </c>
      <c r="G22" s="203">
        <f t="shared" si="0"/>
        <v>846</v>
      </c>
      <c r="H22" s="204">
        <f t="shared" si="1"/>
        <v>1.3757663473891337E-2</v>
      </c>
      <c r="I22" s="522"/>
      <c r="J22" s="202">
        <f t="shared" ref="J22:K22" si="29">SUM(J23:J26)</f>
        <v>118293</v>
      </c>
      <c r="K22" s="202">
        <f t="shared" si="29"/>
        <v>0</v>
      </c>
      <c r="L22" s="203">
        <f t="shared" si="2"/>
        <v>-118293</v>
      </c>
      <c r="M22" s="204">
        <f t="shared" si="3"/>
        <v>-1</v>
      </c>
      <c r="N22" s="513"/>
      <c r="O22" s="202">
        <f t="shared" ref="O22:P22" si="30">SUM(O23:O26)</f>
        <v>177843</v>
      </c>
      <c r="P22" s="202">
        <f t="shared" si="30"/>
        <v>0</v>
      </c>
      <c r="Q22" s="203">
        <f t="shared" si="4"/>
        <v>-177843</v>
      </c>
      <c r="R22" s="204">
        <f t="shared" si="5"/>
        <v>-1</v>
      </c>
      <c r="S22" s="513"/>
      <c r="T22" s="202">
        <f t="shared" ref="T22:U22" si="31">SUM(T23:T26)</f>
        <v>237993</v>
      </c>
      <c r="U22" s="202">
        <f t="shared" si="31"/>
        <v>0</v>
      </c>
      <c r="V22" s="203">
        <f t="shared" si="6"/>
        <v>-237993</v>
      </c>
      <c r="W22" s="204">
        <f t="shared" si="7"/>
        <v>-1</v>
      </c>
      <c r="X22" s="513"/>
    </row>
    <row r="23" spans="1:24" ht="17.100000000000001" customHeight="1" x14ac:dyDescent="0.2">
      <c r="A23" s="327" t="s">
        <v>251</v>
      </c>
      <c r="B23" s="97" t="s">
        <v>562</v>
      </c>
      <c r="C23" s="163">
        <v>150041</v>
      </c>
      <c r="D23" s="163">
        <v>180000</v>
      </c>
      <c r="E23" s="163">
        <f t="shared" ref="E23:E28" si="32">ROUND(D23/4,0)</f>
        <v>45000</v>
      </c>
      <c r="F23" s="163">
        <v>46305</v>
      </c>
      <c r="G23" s="164">
        <f t="shared" si="0"/>
        <v>1305</v>
      </c>
      <c r="H23" s="165">
        <f t="shared" si="1"/>
        <v>2.9000000000000001E-2</v>
      </c>
      <c r="I23" s="523"/>
      <c r="J23" s="163">
        <f t="shared" ref="J23:J28" si="33">ROUND(D23/2,0)</f>
        <v>90000</v>
      </c>
      <c r="K23" s="163"/>
      <c r="L23" s="164">
        <f t="shared" si="2"/>
        <v>-90000</v>
      </c>
      <c r="M23" s="165">
        <f t="shared" si="3"/>
        <v>-1</v>
      </c>
      <c r="N23" s="514"/>
      <c r="O23" s="163">
        <f t="shared" ref="O23:O28" si="34">ROUND(D23/4*3,0)</f>
        <v>135000</v>
      </c>
      <c r="P23" s="163"/>
      <c r="Q23" s="164">
        <f t="shared" si="4"/>
        <v>-135000</v>
      </c>
      <c r="R23" s="165">
        <f t="shared" si="5"/>
        <v>-1</v>
      </c>
      <c r="S23" s="514"/>
      <c r="T23" s="163">
        <f>D23</f>
        <v>180000</v>
      </c>
      <c r="U23" s="163"/>
      <c r="V23" s="164">
        <f t="shared" si="6"/>
        <v>-180000</v>
      </c>
      <c r="W23" s="165">
        <f t="shared" si="7"/>
        <v>-1</v>
      </c>
      <c r="X23" s="514"/>
    </row>
    <row r="24" spans="1:24" ht="17.100000000000001" customHeight="1" x14ac:dyDescent="0.2">
      <c r="A24" s="327" t="s">
        <v>252</v>
      </c>
      <c r="B24" s="97" t="s">
        <v>563</v>
      </c>
      <c r="C24" s="163">
        <v>6356</v>
      </c>
      <c r="D24" s="163">
        <v>993</v>
      </c>
      <c r="E24" s="163">
        <v>993</v>
      </c>
      <c r="F24" s="163">
        <v>961</v>
      </c>
      <c r="G24" s="164">
        <f t="shared" si="0"/>
        <v>-32</v>
      </c>
      <c r="H24" s="165">
        <f t="shared" si="1"/>
        <v>-3.2225579053373615E-2</v>
      </c>
      <c r="I24" s="523"/>
      <c r="J24" s="163">
        <v>993</v>
      </c>
      <c r="K24" s="163"/>
      <c r="L24" s="164">
        <f t="shared" si="2"/>
        <v>-993</v>
      </c>
      <c r="M24" s="165">
        <f t="shared" si="3"/>
        <v>-1</v>
      </c>
      <c r="N24" s="514"/>
      <c r="O24" s="163">
        <v>993</v>
      </c>
      <c r="P24" s="163"/>
      <c r="Q24" s="164">
        <f t="shared" si="4"/>
        <v>-993</v>
      </c>
      <c r="R24" s="165">
        <f t="shared" si="5"/>
        <v>-1</v>
      </c>
      <c r="S24" s="514"/>
      <c r="T24" s="163">
        <f t="shared" ref="T24:T29" si="35">D24</f>
        <v>993</v>
      </c>
      <c r="U24" s="163"/>
      <c r="V24" s="164">
        <f t="shared" si="6"/>
        <v>-993</v>
      </c>
      <c r="W24" s="165">
        <f t="shared" si="7"/>
        <v>-1</v>
      </c>
      <c r="X24" s="514"/>
    </row>
    <row r="25" spans="1:24" ht="17.100000000000001" customHeight="1" x14ac:dyDescent="0.2">
      <c r="A25" s="327" t="s">
        <v>117</v>
      </c>
      <c r="B25" s="97" t="s">
        <v>564</v>
      </c>
      <c r="C25" s="163">
        <f>86473-33009</f>
        <v>53464</v>
      </c>
      <c r="D25" s="163">
        <v>27000</v>
      </c>
      <c r="E25" s="163">
        <f t="shared" si="32"/>
        <v>6750</v>
      </c>
      <c r="F25" s="163">
        <f>2156+4961</f>
        <v>7117</v>
      </c>
      <c r="G25" s="164">
        <f t="shared" si="0"/>
        <v>367</v>
      </c>
      <c r="H25" s="165">
        <f t="shared" si="1"/>
        <v>5.4370370370370368E-2</v>
      </c>
      <c r="I25" s="523"/>
      <c r="J25" s="163">
        <f t="shared" si="33"/>
        <v>13500</v>
      </c>
      <c r="K25" s="163"/>
      <c r="L25" s="164"/>
      <c r="M25" s="165"/>
      <c r="N25" s="514"/>
      <c r="O25" s="163">
        <f t="shared" si="34"/>
        <v>20250</v>
      </c>
      <c r="P25" s="163"/>
      <c r="Q25" s="164"/>
      <c r="R25" s="165"/>
      <c r="S25" s="514"/>
      <c r="T25" s="163">
        <f t="shared" si="35"/>
        <v>27000</v>
      </c>
      <c r="U25" s="163"/>
      <c r="V25" s="164"/>
      <c r="W25" s="165"/>
      <c r="X25" s="514"/>
    </row>
    <row r="26" spans="1:24" ht="17.100000000000001" customHeight="1" x14ac:dyDescent="0.2">
      <c r="A26" s="327" t="s">
        <v>553</v>
      </c>
      <c r="B26" s="97" t="s">
        <v>565</v>
      </c>
      <c r="C26" s="163">
        <v>33009</v>
      </c>
      <c r="D26" s="163">
        <v>30000</v>
      </c>
      <c r="E26" s="163">
        <v>8750</v>
      </c>
      <c r="F26" s="163">
        <f>7676+280</f>
        <v>7956</v>
      </c>
      <c r="G26" s="164">
        <f t="shared" si="0"/>
        <v>-794</v>
      </c>
      <c r="H26" s="165">
        <f t="shared" si="1"/>
        <v>-9.0742857142857139E-2</v>
      </c>
      <c r="I26" s="524"/>
      <c r="J26" s="163">
        <v>13800</v>
      </c>
      <c r="K26" s="163"/>
      <c r="L26" s="164">
        <f t="shared" si="2"/>
        <v>-13800</v>
      </c>
      <c r="M26" s="165">
        <f t="shared" si="3"/>
        <v>-1</v>
      </c>
      <c r="N26" s="515"/>
      <c r="O26" s="163">
        <v>21600</v>
      </c>
      <c r="P26" s="163"/>
      <c r="Q26" s="164">
        <f t="shared" si="4"/>
        <v>-21600</v>
      </c>
      <c r="R26" s="165">
        <f t="shared" si="5"/>
        <v>-1</v>
      </c>
      <c r="S26" s="515"/>
      <c r="T26" s="163">
        <f t="shared" si="35"/>
        <v>30000</v>
      </c>
      <c r="U26" s="163"/>
      <c r="V26" s="164">
        <f t="shared" si="6"/>
        <v>-30000</v>
      </c>
      <c r="W26" s="165">
        <f t="shared" si="7"/>
        <v>-1</v>
      </c>
      <c r="X26" s="515"/>
    </row>
    <row r="27" spans="1:24" ht="17.100000000000001" customHeight="1" x14ac:dyDescent="0.2">
      <c r="A27" s="168" t="s">
        <v>120</v>
      </c>
      <c r="B27" s="169" t="s">
        <v>4</v>
      </c>
      <c r="C27" s="170">
        <v>51245</v>
      </c>
      <c r="D27" s="170">
        <v>52000</v>
      </c>
      <c r="E27" s="163">
        <f t="shared" si="32"/>
        <v>13000</v>
      </c>
      <c r="F27" s="170">
        <v>12340</v>
      </c>
      <c r="G27" s="171">
        <f t="shared" si="0"/>
        <v>-660</v>
      </c>
      <c r="H27" s="172">
        <f t="shared" si="1"/>
        <v>-5.0769230769230768E-2</v>
      </c>
      <c r="I27" s="495"/>
      <c r="J27" s="163">
        <f t="shared" si="33"/>
        <v>26000</v>
      </c>
      <c r="K27" s="170"/>
      <c r="L27" s="171">
        <f t="shared" si="2"/>
        <v>-26000</v>
      </c>
      <c r="M27" s="172">
        <f t="shared" si="3"/>
        <v>-1</v>
      </c>
      <c r="N27" s="173"/>
      <c r="O27" s="163">
        <f t="shared" si="34"/>
        <v>39000</v>
      </c>
      <c r="P27" s="170"/>
      <c r="Q27" s="171">
        <f t="shared" si="4"/>
        <v>-39000</v>
      </c>
      <c r="R27" s="172">
        <f t="shared" si="5"/>
        <v>-1</v>
      </c>
      <c r="S27" s="173"/>
      <c r="T27" s="163">
        <f t="shared" si="35"/>
        <v>52000</v>
      </c>
      <c r="U27" s="170"/>
      <c r="V27" s="171">
        <f t="shared" si="6"/>
        <v>-52000</v>
      </c>
      <c r="W27" s="172">
        <f t="shared" si="7"/>
        <v>-1</v>
      </c>
      <c r="X27" s="173"/>
    </row>
    <row r="28" spans="1:24" ht="17.100000000000001" customHeight="1" x14ac:dyDescent="0.2">
      <c r="A28" s="168" t="s">
        <v>121</v>
      </c>
      <c r="B28" s="169" t="s">
        <v>5</v>
      </c>
      <c r="C28" s="170">
        <v>8524</v>
      </c>
      <c r="D28" s="170">
        <v>8500</v>
      </c>
      <c r="E28" s="163">
        <f t="shared" si="32"/>
        <v>2125</v>
      </c>
      <c r="F28" s="170">
        <v>2134</v>
      </c>
      <c r="G28" s="171">
        <f t="shared" si="0"/>
        <v>9</v>
      </c>
      <c r="H28" s="172">
        <f t="shared" si="1"/>
        <v>4.2352941176470585E-3</v>
      </c>
      <c r="I28" s="495"/>
      <c r="J28" s="163">
        <f t="shared" si="33"/>
        <v>4250</v>
      </c>
      <c r="K28" s="170"/>
      <c r="L28" s="171">
        <f t="shared" si="2"/>
        <v>-4250</v>
      </c>
      <c r="M28" s="172">
        <f t="shared" si="3"/>
        <v>-1</v>
      </c>
      <c r="N28" s="173"/>
      <c r="O28" s="163">
        <f t="shared" si="34"/>
        <v>6375</v>
      </c>
      <c r="P28" s="170"/>
      <c r="Q28" s="171">
        <f t="shared" si="4"/>
        <v>-6375</v>
      </c>
      <c r="R28" s="172">
        <f t="shared" si="5"/>
        <v>-1</v>
      </c>
      <c r="S28" s="173"/>
      <c r="T28" s="163">
        <f t="shared" si="35"/>
        <v>8500</v>
      </c>
      <c r="U28" s="170"/>
      <c r="V28" s="171">
        <f t="shared" si="6"/>
        <v>-8500</v>
      </c>
      <c r="W28" s="172">
        <f t="shared" si="7"/>
        <v>-1</v>
      </c>
      <c r="X28" s="173"/>
    </row>
    <row r="29" spans="1:24" ht="17.100000000000001" customHeight="1" x14ac:dyDescent="0.2">
      <c r="A29" s="168" t="s">
        <v>122</v>
      </c>
      <c r="B29" s="169" t="s">
        <v>6</v>
      </c>
      <c r="C29" s="170"/>
      <c r="D29" s="170">
        <v>1000</v>
      </c>
      <c r="E29" s="170"/>
      <c r="F29" s="170">
        <f>815+42</f>
        <v>857</v>
      </c>
      <c r="G29" s="171">
        <f t="shared" si="0"/>
        <v>857</v>
      </c>
      <c r="H29" s="172" t="str">
        <f t="shared" si="1"/>
        <v>-</v>
      </c>
      <c r="I29" s="495"/>
      <c r="J29" s="170">
        <v>900</v>
      </c>
      <c r="K29" s="170"/>
      <c r="L29" s="171">
        <f t="shared" si="2"/>
        <v>-900</v>
      </c>
      <c r="M29" s="172">
        <f t="shared" si="3"/>
        <v>-1</v>
      </c>
      <c r="N29" s="173"/>
      <c r="O29" s="170">
        <v>950</v>
      </c>
      <c r="P29" s="170"/>
      <c r="Q29" s="171">
        <f t="shared" si="4"/>
        <v>-950</v>
      </c>
      <c r="R29" s="172">
        <f t="shared" si="5"/>
        <v>-1</v>
      </c>
      <c r="S29" s="173"/>
      <c r="T29" s="170">
        <f t="shared" si="35"/>
        <v>1000</v>
      </c>
      <c r="U29" s="170"/>
      <c r="V29" s="171">
        <f t="shared" si="6"/>
        <v>-1000</v>
      </c>
      <c r="W29" s="172">
        <f t="shared" si="7"/>
        <v>-1</v>
      </c>
      <c r="X29" s="173"/>
    </row>
    <row r="30" spans="1:24" s="3" customFormat="1" ht="17.100000000000001" customHeight="1" x14ac:dyDescent="0.2">
      <c r="A30" s="168" t="s">
        <v>123</v>
      </c>
      <c r="B30" s="174" t="s">
        <v>7</v>
      </c>
      <c r="C30" s="175"/>
      <c r="D30" s="170"/>
      <c r="E30" s="170"/>
      <c r="F30" s="170"/>
      <c r="G30" s="171">
        <f t="shared" si="0"/>
        <v>0</v>
      </c>
      <c r="H30" s="172" t="str">
        <f t="shared" si="1"/>
        <v>-</v>
      </c>
      <c r="I30" s="495"/>
      <c r="J30" s="170"/>
      <c r="K30" s="170"/>
      <c r="L30" s="171">
        <f t="shared" si="2"/>
        <v>0</v>
      </c>
      <c r="M30" s="172" t="str">
        <f t="shared" si="3"/>
        <v>-</v>
      </c>
      <c r="N30" s="173"/>
      <c r="O30" s="170"/>
      <c r="P30" s="170"/>
      <c r="Q30" s="171">
        <f t="shared" si="4"/>
        <v>0</v>
      </c>
      <c r="R30" s="172" t="str">
        <f t="shared" si="5"/>
        <v>-</v>
      </c>
      <c r="S30" s="173"/>
      <c r="T30" s="170"/>
      <c r="U30" s="170"/>
      <c r="V30" s="171">
        <f t="shared" si="6"/>
        <v>0</v>
      </c>
      <c r="W30" s="172" t="str">
        <f t="shared" si="7"/>
        <v>-</v>
      </c>
      <c r="X30" s="173"/>
    </row>
    <row r="31" spans="1:24" s="3" customFormat="1" ht="17.100000000000001" customHeight="1" x14ac:dyDescent="0.2">
      <c r="A31" s="176" t="s">
        <v>124</v>
      </c>
      <c r="B31" s="177" t="s">
        <v>470</v>
      </c>
      <c r="C31" s="178">
        <v>445738</v>
      </c>
      <c r="D31" s="179">
        <v>0</v>
      </c>
      <c r="E31" s="179"/>
      <c r="F31" s="179"/>
      <c r="G31" s="180">
        <f t="shared" si="0"/>
        <v>0</v>
      </c>
      <c r="H31" s="181" t="str">
        <f t="shared" si="1"/>
        <v>-</v>
      </c>
      <c r="I31" s="495"/>
      <c r="J31" s="179"/>
      <c r="K31" s="179"/>
      <c r="L31" s="180">
        <f t="shared" si="2"/>
        <v>0</v>
      </c>
      <c r="M31" s="181" t="str">
        <f t="shared" si="3"/>
        <v>-</v>
      </c>
      <c r="N31" s="173"/>
      <c r="O31" s="179"/>
      <c r="P31" s="179"/>
      <c r="Q31" s="180">
        <f t="shared" si="4"/>
        <v>0</v>
      </c>
      <c r="R31" s="181" t="str">
        <f t="shared" si="5"/>
        <v>-</v>
      </c>
      <c r="S31" s="173"/>
      <c r="T31" s="179">
        <f>D31</f>
        <v>0</v>
      </c>
      <c r="U31" s="179"/>
      <c r="V31" s="180">
        <f t="shared" si="6"/>
        <v>0</v>
      </c>
      <c r="W31" s="181" t="str">
        <f t="shared" si="7"/>
        <v>-</v>
      </c>
      <c r="X31" s="173"/>
    </row>
    <row r="32" spans="1:24" ht="17.100000000000001" customHeight="1" x14ac:dyDescent="0.2">
      <c r="A32" s="348" t="s">
        <v>8</v>
      </c>
      <c r="B32" s="349" t="s">
        <v>287</v>
      </c>
      <c r="C32" s="350">
        <f>C33+C58+C140</f>
        <v>11403795</v>
      </c>
      <c r="D32" s="350">
        <f>D33+D58+D140</f>
        <v>12362143</v>
      </c>
      <c r="E32" s="350">
        <f>E33+E58+E140</f>
        <v>2959107</v>
      </c>
      <c r="F32" s="350">
        <f>F33+F58+F140</f>
        <v>2884495</v>
      </c>
      <c r="G32" s="351">
        <f t="shared" si="0"/>
        <v>-74612</v>
      </c>
      <c r="H32" s="352">
        <f t="shared" si="1"/>
        <v>-2.5214363657684567E-2</v>
      </c>
      <c r="I32" s="493"/>
      <c r="J32" s="350">
        <f>J33+J58+J140</f>
        <v>5822690</v>
      </c>
      <c r="K32" s="350">
        <f>K33+K58+K140</f>
        <v>0</v>
      </c>
      <c r="L32" s="351">
        <f t="shared" si="2"/>
        <v>-5822690</v>
      </c>
      <c r="M32" s="352">
        <f t="shared" si="3"/>
        <v>-1</v>
      </c>
      <c r="N32" s="353"/>
      <c r="O32" s="350">
        <f>O33+O58+O140</f>
        <v>8630146</v>
      </c>
      <c r="P32" s="350">
        <f>P33+P58+P140</f>
        <v>0</v>
      </c>
      <c r="Q32" s="351">
        <f t="shared" si="4"/>
        <v>-8630146</v>
      </c>
      <c r="R32" s="352">
        <f t="shared" si="5"/>
        <v>-1</v>
      </c>
      <c r="S32" s="353"/>
      <c r="T32" s="350">
        <f>T33+T58+T140</f>
        <v>12362143</v>
      </c>
      <c r="U32" s="350">
        <f>U33+U58+U140</f>
        <v>0</v>
      </c>
      <c r="V32" s="351">
        <f t="shared" si="6"/>
        <v>-12362143</v>
      </c>
      <c r="W32" s="352">
        <f t="shared" si="7"/>
        <v>-1</v>
      </c>
      <c r="X32" s="353"/>
    </row>
    <row r="33" spans="1:24" s="2" customFormat="1" ht="17.100000000000001" customHeight="1" x14ac:dyDescent="0.2">
      <c r="A33" s="320" t="s">
        <v>9</v>
      </c>
      <c r="B33" s="330" t="s">
        <v>10</v>
      </c>
      <c r="C33" s="321">
        <f t="shared" ref="C33:F33" si="36">C34+C50</f>
        <v>9703539</v>
      </c>
      <c r="D33" s="321">
        <f t="shared" si="36"/>
        <v>10590436</v>
      </c>
      <c r="E33" s="321">
        <f t="shared" si="36"/>
        <v>2410403</v>
      </c>
      <c r="F33" s="321">
        <f t="shared" si="36"/>
        <v>2405567</v>
      </c>
      <c r="G33" s="322">
        <f t="shared" si="0"/>
        <v>-4836</v>
      </c>
      <c r="H33" s="323">
        <f t="shared" si="1"/>
        <v>-2.0063035102428932E-3</v>
      </c>
      <c r="I33" s="494"/>
      <c r="J33" s="321">
        <f t="shared" ref="J33:K33" si="37">J34+J50</f>
        <v>4903821</v>
      </c>
      <c r="K33" s="321">
        <f t="shared" si="37"/>
        <v>0</v>
      </c>
      <c r="L33" s="322">
        <f t="shared" si="2"/>
        <v>-4903821</v>
      </c>
      <c r="M33" s="323">
        <f t="shared" si="3"/>
        <v>-1</v>
      </c>
      <c r="N33" s="324"/>
      <c r="O33" s="321">
        <f>O34+O50</f>
        <v>7316188</v>
      </c>
      <c r="P33" s="321">
        <f>P34+P50</f>
        <v>0</v>
      </c>
      <c r="Q33" s="322">
        <f t="shared" si="4"/>
        <v>-7316188</v>
      </c>
      <c r="R33" s="323">
        <f t="shared" si="5"/>
        <v>-1</v>
      </c>
      <c r="S33" s="324"/>
      <c r="T33" s="321">
        <f t="shared" ref="T33:U33" si="38">T34+T50</f>
        <v>10590436</v>
      </c>
      <c r="U33" s="321">
        <f t="shared" si="38"/>
        <v>0</v>
      </c>
      <c r="V33" s="322">
        <f>U33-T33</f>
        <v>-10590436</v>
      </c>
      <c r="W33" s="323">
        <f t="shared" si="7"/>
        <v>-1</v>
      </c>
      <c r="X33" s="324"/>
    </row>
    <row r="34" spans="1:24" s="2" customFormat="1" ht="17.100000000000001" customHeight="1" x14ac:dyDescent="0.2">
      <c r="A34" s="147">
        <v>1100</v>
      </c>
      <c r="B34" s="148" t="s">
        <v>11</v>
      </c>
      <c r="C34" s="207">
        <f>C35+C39+C49+C48</f>
        <v>7678919</v>
      </c>
      <c r="D34" s="207">
        <f t="shared" ref="D34:F34" si="39">D35+D39+D49+D48</f>
        <v>8462236</v>
      </c>
      <c r="E34" s="207">
        <f t="shared" si="39"/>
        <v>1920954</v>
      </c>
      <c r="F34" s="207">
        <f t="shared" si="39"/>
        <v>1913321</v>
      </c>
      <c r="G34" s="203">
        <f t="shared" si="0"/>
        <v>-7633</v>
      </c>
      <c r="H34" s="204">
        <f t="shared" si="1"/>
        <v>-3.9735464774273612E-3</v>
      </c>
      <c r="I34" s="496"/>
      <c r="J34" s="207">
        <f t="shared" ref="J34:K34" si="40">J35+J39+J49+J48</f>
        <v>3898298</v>
      </c>
      <c r="K34" s="207">
        <f t="shared" si="40"/>
        <v>0</v>
      </c>
      <c r="L34" s="203">
        <f t="shared" si="2"/>
        <v>-3898298</v>
      </c>
      <c r="M34" s="204">
        <f t="shared" si="3"/>
        <v>-1</v>
      </c>
      <c r="N34" s="405"/>
      <c r="O34" s="207">
        <f t="shared" ref="O34:P34" si="41">O35+O39+O49+O48</f>
        <v>5821707</v>
      </c>
      <c r="P34" s="207">
        <f t="shared" si="41"/>
        <v>0</v>
      </c>
      <c r="Q34" s="203">
        <f t="shared" si="4"/>
        <v>-5821707</v>
      </c>
      <c r="R34" s="204">
        <f t="shared" si="5"/>
        <v>-1</v>
      </c>
      <c r="S34" s="405"/>
      <c r="T34" s="207">
        <f t="shared" ref="T34:U34" si="42">T35+T39+T49+T48</f>
        <v>8462236</v>
      </c>
      <c r="U34" s="207">
        <f t="shared" si="42"/>
        <v>0</v>
      </c>
      <c r="V34" s="203">
        <f t="shared" si="6"/>
        <v>-8462236</v>
      </c>
      <c r="W34" s="204">
        <f t="shared" si="7"/>
        <v>-1</v>
      </c>
      <c r="X34" s="405"/>
    </row>
    <row r="35" spans="1:24" ht="17.100000000000001" customHeight="1" x14ac:dyDescent="0.2">
      <c r="A35" s="182">
        <v>1110</v>
      </c>
      <c r="B35" s="183" t="s">
        <v>12</v>
      </c>
      <c r="C35" s="184">
        <f>SUM(C36:C38)</f>
        <v>5816985</v>
      </c>
      <c r="D35" s="184">
        <f t="shared" ref="D35:F35" si="43">SUM(D36:D38)</f>
        <v>6655941</v>
      </c>
      <c r="E35" s="184">
        <f t="shared" si="43"/>
        <v>1463141</v>
      </c>
      <c r="F35" s="184">
        <f t="shared" si="43"/>
        <v>1475089</v>
      </c>
      <c r="G35" s="164">
        <f t="shared" si="0"/>
        <v>11948</v>
      </c>
      <c r="H35" s="165">
        <f t="shared" si="1"/>
        <v>8.1659935713646187E-3</v>
      </c>
      <c r="I35" s="525"/>
      <c r="J35" s="184">
        <f t="shared" ref="J35:K35" si="44">SUM(J36:J38)</f>
        <v>2995310</v>
      </c>
      <c r="K35" s="184">
        <f t="shared" si="44"/>
        <v>0</v>
      </c>
      <c r="L35" s="164">
        <f t="shared" si="2"/>
        <v>-2995310</v>
      </c>
      <c r="M35" s="165">
        <f t="shared" si="3"/>
        <v>-1</v>
      </c>
      <c r="N35" s="512"/>
      <c r="O35" s="184">
        <f t="shared" ref="O35:P35" si="45">SUM(O36:O38)</f>
        <v>4513555</v>
      </c>
      <c r="P35" s="184">
        <f t="shared" si="45"/>
        <v>0</v>
      </c>
      <c r="Q35" s="164">
        <f t="shared" si="4"/>
        <v>-4513555</v>
      </c>
      <c r="R35" s="165">
        <f t="shared" si="5"/>
        <v>-1</v>
      </c>
      <c r="S35" s="512"/>
      <c r="T35" s="184">
        <f t="shared" ref="T35:U35" si="46">SUM(T36:T38)</f>
        <v>6655941</v>
      </c>
      <c r="U35" s="184">
        <f t="shared" si="46"/>
        <v>0</v>
      </c>
      <c r="V35" s="164">
        <f t="shared" si="6"/>
        <v>-6655941</v>
      </c>
      <c r="W35" s="165">
        <f t="shared" si="7"/>
        <v>-1</v>
      </c>
      <c r="X35" s="512"/>
    </row>
    <row r="36" spans="1:24" ht="17.100000000000001" customHeight="1" x14ac:dyDescent="0.2">
      <c r="A36" s="325">
        <v>1111</v>
      </c>
      <c r="B36" s="185" t="s">
        <v>275</v>
      </c>
      <c r="C36" s="186">
        <v>72000</v>
      </c>
      <c r="D36" s="163">
        <v>72000</v>
      </c>
      <c r="E36" s="163">
        <v>18000</v>
      </c>
      <c r="F36" s="163">
        <v>18000</v>
      </c>
      <c r="G36" s="164">
        <f t="shared" si="0"/>
        <v>0</v>
      </c>
      <c r="H36" s="165">
        <f t="shared" si="1"/>
        <v>0</v>
      </c>
      <c r="I36" s="525"/>
      <c r="J36" s="163">
        <v>36000</v>
      </c>
      <c r="K36" s="163"/>
      <c r="L36" s="164">
        <f t="shared" si="2"/>
        <v>-36000</v>
      </c>
      <c r="M36" s="165">
        <f t="shared" si="3"/>
        <v>-1</v>
      </c>
      <c r="N36" s="512"/>
      <c r="O36" s="163">
        <v>54000</v>
      </c>
      <c r="P36" s="163"/>
      <c r="Q36" s="164">
        <f t="shared" si="4"/>
        <v>-54000</v>
      </c>
      <c r="R36" s="165">
        <f t="shared" si="5"/>
        <v>-1</v>
      </c>
      <c r="S36" s="512"/>
      <c r="T36" s="163">
        <f>D36</f>
        <v>72000</v>
      </c>
      <c r="U36" s="163"/>
      <c r="V36" s="164">
        <f t="shared" si="6"/>
        <v>-72000</v>
      </c>
      <c r="W36" s="165">
        <f t="shared" si="7"/>
        <v>-1</v>
      </c>
      <c r="X36" s="512"/>
    </row>
    <row r="37" spans="1:24" ht="17.100000000000001" customHeight="1" x14ac:dyDescent="0.2">
      <c r="A37" s="325">
        <v>1112</v>
      </c>
      <c r="B37" s="185" t="s">
        <v>599</v>
      </c>
      <c r="C37" s="186"/>
      <c r="D37" s="163"/>
      <c r="E37" s="163"/>
      <c r="F37" s="163"/>
      <c r="G37" s="164"/>
      <c r="H37" s="165"/>
      <c r="I37" s="525"/>
      <c r="J37" s="163"/>
      <c r="K37" s="163"/>
      <c r="L37" s="164"/>
      <c r="M37" s="165"/>
      <c r="N37" s="512"/>
      <c r="O37" s="163"/>
      <c r="P37" s="163"/>
      <c r="Q37" s="164"/>
      <c r="R37" s="165"/>
      <c r="S37" s="512"/>
      <c r="T37" s="163">
        <f t="shared" ref="T37:T38" si="47">D37</f>
        <v>0</v>
      </c>
      <c r="U37" s="163"/>
      <c r="V37" s="164"/>
      <c r="W37" s="165"/>
      <c r="X37" s="512"/>
    </row>
    <row r="38" spans="1:24" ht="17.100000000000001" customHeight="1" x14ac:dyDescent="0.2">
      <c r="A38" s="325">
        <v>1113</v>
      </c>
      <c r="B38" s="185" t="s">
        <v>276</v>
      </c>
      <c r="C38" s="186">
        <v>5744985</v>
      </c>
      <c r="D38" s="163">
        <f>6715941-D36-60000</f>
        <v>6583941</v>
      </c>
      <c r="E38" s="163">
        <f>1495141-50000</f>
        <v>1445141</v>
      </c>
      <c r="F38" s="163">
        <f>1474994-F36+95</f>
        <v>1457089</v>
      </c>
      <c r="G38" s="164">
        <f t="shared" si="0"/>
        <v>11948</v>
      </c>
      <c r="H38" s="165">
        <f t="shared" si="1"/>
        <v>8.2677053657739964E-3</v>
      </c>
      <c r="I38" s="525"/>
      <c r="J38" s="163">
        <f>3009310-50000</f>
        <v>2959310</v>
      </c>
      <c r="K38" s="163"/>
      <c r="L38" s="164">
        <f t="shared" si="2"/>
        <v>-2959310</v>
      </c>
      <c r="M38" s="165">
        <f t="shared" si="3"/>
        <v>-1</v>
      </c>
      <c r="N38" s="512"/>
      <c r="O38" s="163">
        <f>4534555-75000</f>
        <v>4459555</v>
      </c>
      <c r="P38" s="163"/>
      <c r="Q38" s="164">
        <f t="shared" si="4"/>
        <v>-4459555</v>
      </c>
      <c r="R38" s="165">
        <f t="shared" si="5"/>
        <v>-1</v>
      </c>
      <c r="S38" s="512"/>
      <c r="T38" s="163">
        <f t="shared" si="47"/>
        <v>6583941</v>
      </c>
      <c r="U38" s="163"/>
      <c r="V38" s="164">
        <f t="shared" si="6"/>
        <v>-6583941</v>
      </c>
      <c r="W38" s="165">
        <f t="shared" si="7"/>
        <v>-1</v>
      </c>
      <c r="X38" s="512"/>
    </row>
    <row r="39" spans="1:24" s="326" customFormat="1" ht="17.100000000000001" customHeight="1" x14ac:dyDescent="0.2">
      <c r="A39" s="182">
        <v>1140</v>
      </c>
      <c r="B39" s="190" t="s">
        <v>125</v>
      </c>
      <c r="C39" s="319">
        <f t="shared" ref="C39:F39" si="48">SUM(C40:C47)</f>
        <v>1802008</v>
      </c>
      <c r="D39" s="319">
        <f t="shared" si="48"/>
        <v>1732293</v>
      </c>
      <c r="E39" s="319">
        <f t="shared" si="48"/>
        <v>438065</v>
      </c>
      <c r="F39" s="319">
        <f t="shared" si="48"/>
        <v>421125</v>
      </c>
      <c r="G39" s="171">
        <f t="shared" si="0"/>
        <v>-16940</v>
      </c>
      <c r="H39" s="172">
        <f t="shared" si="1"/>
        <v>-3.8670060379167474E-2</v>
      </c>
      <c r="I39" s="522" t="s">
        <v>684</v>
      </c>
      <c r="J39" s="319">
        <f t="shared" ref="J39:K39" si="49">SUM(J40:J47)</f>
        <v>864332</v>
      </c>
      <c r="K39" s="319">
        <f t="shared" si="49"/>
        <v>0</v>
      </c>
      <c r="L39" s="171">
        <f t="shared" si="2"/>
        <v>-864332</v>
      </c>
      <c r="M39" s="172">
        <f t="shared" si="3"/>
        <v>-1</v>
      </c>
      <c r="N39" s="513"/>
      <c r="O39" s="319">
        <f t="shared" ref="O39:P39" si="50">SUM(O40:O47)</f>
        <v>1250587</v>
      </c>
      <c r="P39" s="319">
        <f t="shared" si="50"/>
        <v>0</v>
      </c>
      <c r="Q39" s="171">
        <f t="shared" si="4"/>
        <v>-1250587</v>
      </c>
      <c r="R39" s="172">
        <f t="shared" si="5"/>
        <v>-1</v>
      </c>
      <c r="S39" s="513"/>
      <c r="T39" s="319">
        <f t="shared" ref="T39:U39" si="51">SUM(T40:T47)</f>
        <v>1732293</v>
      </c>
      <c r="U39" s="319">
        <f t="shared" si="51"/>
        <v>0</v>
      </c>
      <c r="V39" s="171">
        <f t="shared" si="6"/>
        <v>-1732293</v>
      </c>
      <c r="W39" s="172">
        <f t="shared" si="7"/>
        <v>-1</v>
      </c>
      <c r="X39" s="513"/>
    </row>
    <row r="40" spans="1:24" s="2" customFormat="1" ht="17.100000000000001" customHeight="1" x14ac:dyDescent="0.2">
      <c r="A40" s="325">
        <v>1141</v>
      </c>
      <c r="B40" s="187" t="s">
        <v>118</v>
      </c>
      <c r="C40" s="186">
        <v>356492</v>
      </c>
      <c r="D40" s="163">
        <v>399185</v>
      </c>
      <c r="E40" s="163">
        <v>85613</v>
      </c>
      <c r="F40" s="163">
        <v>87421</v>
      </c>
      <c r="G40" s="164">
        <f t="shared" si="0"/>
        <v>1808</v>
      </c>
      <c r="H40" s="165">
        <f t="shared" si="1"/>
        <v>2.1118288110450516E-2</v>
      </c>
      <c r="I40" s="523"/>
      <c r="J40" s="163">
        <v>168980</v>
      </c>
      <c r="K40" s="163"/>
      <c r="L40" s="164">
        <f t="shared" si="2"/>
        <v>-168980</v>
      </c>
      <c r="M40" s="165">
        <f t="shared" si="3"/>
        <v>-1</v>
      </c>
      <c r="N40" s="514"/>
      <c r="O40" s="163">
        <v>252346</v>
      </c>
      <c r="P40" s="163"/>
      <c r="Q40" s="164">
        <f t="shared" si="4"/>
        <v>-252346</v>
      </c>
      <c r="R40" s="165">
        <f t="shared" si="5"/>
        <v>-1</v>
      </c>
      <c r="S40" s="514"/>
      <c r="T40" s="163">
        <f>D40</f>
        <v>399185</v>
      </c>
      <c r="U40" s="163"/>
      <c r="V40" s="164">
        <f t="shared" si="6"/>
        <v>-399185</v>
      </c>
      <c r="W40" s="165">
        <f t="shared" si="7"/>
        <v>-1</v>
      </c>
      <c r="X40" s="514"/>
    </row>
    <row r="41" spans="1:24" s="2" customFormat="1" ht="17.100000000000001" customHeight="1" x14ac:dyDescent="0.2">
      <c r="A41" s="325">
        <v>1142</v>
      </c>
      <c r="B41" s="187" t="s">
        <v>545</v>
      </c>
      <c r="C41" s="186">
        <v>175795</v>
      </c>
      <c r="D41" s="163">
        <v>147772</v>
      </c>
      <c r="E41" s="163">
        <v>7590</v>
      </c>
      <c r="F41" s="163">
        <v>9568</v>
      </c>
      <c r="G41" s="164">
        <f t="shared" si="0"/>
        <v>1978</v>
      </c>
      <c r="H41" s="165">
        <f t="shared" si="1"/>
        <v>0.26060606060606062</v>
      </c>
      <c r="I41" s="523"/>
      <c r="J41" s="163">
        <v>72300</v>
      </c>
      <c r="K41" s="163"/>
      <c r="L41" s="164">
        <f t="shared" si="2"/>
        <v>-72300</v>
      </c>
      <c r="M41" s="165">
        <f t="shared" si="3"/>
        <v>-1</v>
      </c>
      <c r="N41" s="514"/>
      <c r="O41" s="163">
        <v>95920</v>
      </c>
      <c r="P41" s="163"/>
      <c r="Q41" s="164">
        <f t="shared" si="4"/>
        <v>-95920</v>
      </c>
      <c r="R41" s="165">
        <f t="shared" si="5"/>
        <v>-1</v>
      </c>
      <c r="S41" s="514"/>
      <c r="T41" s="163">
        <f t="shared" ref="T41:T48" si="52">D41</f>
        <v>147772</v>
      </c>
      <c r="U41" s="163"/>
      <c r="V41" s="164">
        <f t="shared" si="6"/>
        <v>-147772</v>
      </c>
      <c r="W41" s="165">
        <f t="shared" si="7"/>
        <v>-1</v>
      </c>
      <c r="X41" s="514"/>
    </row>
    <row r="42" spans="1:24" s="2" customFormat="1" ht="17.100000000000001" customHeight="1" x14ac:dyDescent="0.2">
      <c r="A42" s="325">
        <v>1144</v>
      </c>
      <c r="B42" s="187" t="s">
        <v>13</v>
      </c>
      <c r="C42" s="186"/>
      <c r="D42" s="163"/>
      <c r="E42" s="163"/>
      <c r="F42" s="163"/>
      <c r="G42" s="164">
        <f t="shared" si="0"/>
        <v>0</v>
      </c>
      <c r="H42" s="165" t="str">
        <f t="shared" si="1"/>
        <v>-</v>
      </c>
      <c r="I42" s="523"/>
      <c r="J42" s="163"/>
      <c r="K42" s="163"/>
      <c r="L42" s="164">
        <f t="shared" si="2"/>
        <v>0</v>
      </c>
      <c r="M42" s="165" t="str">
        <f t="shared" si="3"/>
        <v>-</v>
      </c>
      <c r="N42" s="514"/>
      <c r="O42" s="163"/>
      <c r="P42" s="163"/>
      <c r="Q42" s="164">
        <f t="shared" si="4"/>
        <v>0</v>
      </c>
      <c r="R42" s="165" t="str">
        <f t="shared" si="5"/>
        <v>-</v>
      </c>
      <c r="S42" s="514"/>
      <c r="T42" s="163">
        <f t="shared" si="52"/>
        <v>0</v>
      </c>
      <c r="U42" s="163"/>
      <c r="V42" s="164">
        <f t="shared" si="6"/>
        <v>0</v>
      </c>
      <c r="W42" s="165" t="str">
        <f t="shared" si="7"/>
        <v>-</v>
      </c>
      <c r="X42" s="514"/>
    </row>
    <row r="43" spans="1:24" s="2" customFormat="1" ht="17.100000000000001" customHeight="1" x14ac:dyDescent="0.2">
      <c r="A43" s="325">
        <v>1145</v>
      </c>
      <c r="B43" s="187" t="s">
        <v>126</v>
      </c>
      <c r="C43" s="186">
        <v>231921</v>
      </c>
      <c r="D43" s="163">
        <v>287518</v>
      </c>
      <c r="E43" s="163">
        <f>65616-9000</f>
        <v>56616</v>
      </c>
      <c r="F43" s="163">
        <v>59231</v>
      </c>
      <c r="G43" s="164">
        <f t="shared" si="0"/>
        <v>2615</v>
      </c>
      <c r="H43" s="165">
        <f t="shared" si="1"/>
        <v>4.6188356648297305E-2</v>
      </c>
      <c r="I43" s="523"/>
      <c r="J43" s="163">
        <v>134318</v>
      </c>
      <c r="K43" s="163"/>
      <c r="L43" s="164">
        <f t="shared" si="2"/>
        <v>-134318</v>
      </c>
      <c r="M43" s="165">
        <f t="shared" si="3"/>
        <v>-1</v>
      </c>
      <c r="N43" s="514"/>
      <c r="O43" s="163">
        <v>203573</v>
      </c>
      <c r="P43" s="163"/>
      <c r="Q43" s="164">
        <f t="shared" si="4"/>
        <v>-203573</v>
      </c>
      <c r="R43" s="165">
        <f t="shared" si="5"/>
        <v>-1</v>
      </c>
      <c r="S43" s="514"/>
      <c r="T43" s="163">
        <f t="shared" si="52"/>
        <v>287518</v>
      </c>
      <c r="U43" s="163"/>
      <c r="V43" s="164">
        <f t="shared" si="6"/>
        <v>-287518</v>
      </c>
      <c r="W43" s="165">
        <f t="shared" si="7"/>
        <v>-1</v>
      </c>
      <c r="X43" s="514"/>
    </row>
    <row r="44" spans="1:24" s="2" customFormat="1" ht="17.100000000000001" customHeight="1" x14ac:dyDescent="0.2">
      <c r="A44" s="325">
        <v>1146</v>
      </c>
      <c r="B44" s="187" t="s">
        <v>14</v>
      </c>
      <c r="C44" s="186"/>
      <c r="D44" s="163"/>
      <c r="E44" s="163"/>
      <c r="F44" s="163"/>
      <c r="G44" s="164">
        <f t="shared" si="0"/>
        <v>0</v>
      </c>
      <c r="H44" s="165" t="str">
        <f t="shared" si="1"/>
        <v>-</v>
      </c>
      <c r="I44" s="523"/>
      <c r="J44" s="163"/>
      <c r="K44" s="163"/>
      <c r="L44" s="164">
        <f t="shared" si="2"/>
        <v>0</v>
      </c>
      <c r="M44" s="165" t="str">
        <f t="shared" si="3"/>
        <v>-</v>
      </c>
      <c r="N44" s="514"/>
      <c r="O44" s="163"/>
      <c r="P44" s="163"/>
      <c r="Q44" s="164">
        <f t="shared" si="4"/>
        <v>0</v>
      </c>
      <c r="R44" s="165" t="str">
        <f t="shared" si="5"/>
        <v>-</v>
      </c>
      <c r="S44" s="514"/>
      <c r="T44" s="163">
        <f t="shared" si="52"/>
        <v>0</v>
      </c>
      <c r="U44" s="163"/>
      <c r="V44" s="164">
        <f t="shared" si="6"/>
        <v>0</v>
      </c>
      <c r="W44" s="165" t="str">
        <f t="shared" si="7"/>
        <v>-</v>
      </c>
      <c r="X44" s="514"/>
    </row>
    <row r="45" spans="1:24" s="2" customFormat="1" ht="17.100000000000001" customHeight="1" x14ac:dyDescent="0.2">
      <c r="A45" s="325">
        <v>1147</v>
      </c>
      <c r="B45" s="187" t="s">
        <v>15</v>
      </c>
      <c r="C45" s="186">
        <v>601364</v>
      </c>
      <c r="D45" s="163">
        <v>387226</v>
      </c>
      <c r="E45" s="163">
        <f>73984-7000</f>
        <v>66984</v>
      </c>
      <c r="F45" s="163">
        <v>64439</v>
      </c>
      <c r="G45" s="164">
        <f t="shared" si="0"/>
        <v>-2545</v>
      </c>
      <c r="H45" s="165">
        <f t="shared" si="1"/>
        <v>-3.7994147856204467E-2</v>
      </c>
      <c r="I45" s="523"/>
      <c r="J45" s="163">
        <v>169829</v>
      </c>
      <c r="K45" s="163"/>
      <c r="L45" s="164">
        <f t="shared" si="2"/>
        <v>-169829</v>
      </c>
      <c r="M45" s="165">
        <f t="shared" si="3"/>
        <v>-1</v>
      </c>
      <c r="N45" s="514"/>
      <c r="O45" s="163">
        <v>284758</v>
      </c>
      <c r="P45" s="163"/>
      <c r="Q45" s="164">
        <f t="shared" si="4"/>
        <v>-284758</v>
      </c>
      <c r="R45" s="165">
        <f t="shared" si="5"/>
        <v>-1</v>
      </c>
      <c r="S45" s="514"/>
      <c r="T45" s="163">
        <f t="shared" si="52"/>
        <v>387226</v>
      </c>
      <c r="U45" s="163"/>
      <c r="V45" s="164">
        <f t="shared" si="6"/>
        <v>-387226</v>
      </c>
      <c r="W45" s="165">
        <f t="shared" si="7"/>
        <v>-1</v>
      </c>
      <c r="X45" s="514"/>
    </row>
    <row r="46" spans="1:24" s="2" customFormat="1" ht="17.100000000000001" customHeight="1" x14ac:dyDescent="0.2">
      <c r="A46" s="325">
        <v>1148</v>
      </c>
      <c r="B46" s="187" t="s">
        <v>127</v>
      </c>
      <c r="C46" s="186">
        <v>2040</v>
      </c>
      <c r="D46" s="163">
        <v>0</v>
      </c>
      <c r="E46" s="163"/>
      <c r="F46" s="163"/>
      <c r="G46" s="164">
        <f t="shared" si="0"/>
        <v>0</v>
      </c>
      <c r="H46" s="165" t="str">
        <f t="shared" si="1"/>
        <v>-</v>
      </c>
      <c r="I46" s="523"/>
      <c r="J46" s="163"/>
      <c r="K46" s="163"/>
      <c r="L46" s="164">
        <f t="shared" si="2"/>
        <v>0</v>
      </c>
      <c r="M46" s="165" t="str">
        <f t="shared" si="3"/>
        <v>-</v>
      </c>
      <c r="N46" s="514"/>
      <c r="O46" s="163"/>
      <c r="P46" s="163"/>
      <c r="Q46" s="164">
        <f t="shared" si="4"/>
        <v>0</v>
      </c>
      <c r="R46" s="165" t="str">
        <f t="shared" si="5"/>
        <v>-</v>
      </c>
      <c r="S46" s="514"/>
      <c r="T46" s="163">
        <f t="shared" si="52"/>
        <v>0</v>
      </c>
      <c r="U46" s="163"/>
      <c r="V46" s="164">
        <f t="shared" si="6"/>
        <v>0</v>
      </c>
      <c r="W46" s="165" t="str">
        <f t="shared" si="7"/>
        <v>-</v>
      </c>
      <c r="X46" s="514"/>
    </row>
    <row r="47" spans="1:24" s="2" customFormat="1" ht="17.100000000000001" customHeight="1" x14ac:dyDescent="0.2">
      <c r="A47" s="325">
        <v>1149</v>
      </c>
      <c r="B47" s="187" t="s">
        <v>16</v>
      </c>
      <c r="C47" s="186">
        <v>434396</v>
      </c>
      <c r="D47" s="167">
        <v>510592</v>
      </c>
      <c r="E47" s="167">
        <f>224262-3000</f>
        <v>221262</v>
      </c>
      <c r="F47" s="167">
        <v>200466</v>
      </c>
      <c r="G47" s="188">
        <f t="shared" si="0"/>
        <v>-20796</v>
      </c>
      <c r="H47" s="189">
        <f t="shared" si="1"/>
        <v>-9.3988122678092034E-2</v>
      </c>
      <c r="I47" s="524"/>
      <c r="J47" s="167">
        <v>318905</v>
      </c>
      <c r="K47" s="167"/>
      <c r="L47" s="188">
        <f t="shared" si="2"/>
        <v>-318905</v>
      </c>
      <c r="M47" s="189">
        <f t="shared" si="3"/>
        <v>-1</v>
      </c>
      <c r="N47" s="515"/>
      <c r="O47" s="167">
        <v>413990</v>
      </c>
      <c r="P47" s="167"/>
      <c r="Q47" s="188">
        <f t="shared" si="4"/>
        <v>-413990</v>
      </c>
      <c r="R47" s="189">
        <f t="shared" si="5"/>
        <v>-1</v>
      </c>
      <c r="S47" s="515"/>
      <c r="T47" s="163">
        <f t="shared" si="52"/>
        <v>510592</v>
      </c>
      <c r="U47" s="167"/>
      <c r="V47" s="188">
        <f t="shared" si="6"/>
        <v>-510592</v>
      </c>
      <c r="W47" s="189">
        <f t="shared" si="7"/>
        <v>-1</v>
      </c>
      <c r="X47" s="515"/>
    </row>
    <row r="48" spans="1:24" s="2" customFormat="1" ht="17.100000000000001" customHeight="1" x14ac:dyDescent="0.2">
      <c r="A48" s="182">
        <v>1150</v>
      </c>
      <c r="B48" s="190" t="s">
        <v>17</v>
      </c>
      <c r="C48" s="191">
        <v>59926</v>
      </c>
      <c r="D48" s="170">
        <v>74002</v>
      </c>
      <c r="E48" s="170">
        <v>19748</v>
      </c>
      <c r="F48" s="170">
        <v>17107</v>
      </c>
      <c r="G48" s="171">
        <f t="shared" si="0"/>
        <v>-2641</v>
      </c>
      <c r="H48" s="172">
        <f t="shared" si="1"/>
        <v>-0.13373506177840794</v>
      </c>
      <c r="I48" s="495"/>
      <c r="J48" s="170">
        <v>38656</v>
      </c>
      <c r="K48" s="170"/>
      <c r="L48" s="171">
        <f t="shared" si="2"/>
        <v>-38656</v>
      </c>
      <c r="M48" s="172">
        <f t="shared" si="3"/>
        <v>-1</v>
      </c>
      <c r="N48" s="173"/>
      <c r="O48" s="170">
        <v>57565</v>
      </c>
      <c r="P48" s="170"/>
      <c r="Q48" s="171">
        <f t="shared" si="4"/>
        <v>-57565</v>
      </c>
      <c r="R48" s="172">
        <f t="shared" si="5"/>
        <v>-1</v>
      </c>
      <c r="S48" s="173"/>
      <c r="T48" s="163">
        <f t="shared" si="52"/>
        <v>74002</v>
      </c>
      <c r="U48" s="170"/>
      <c r="V48" s="171">
        <f t="shared" si="6"/>
        <v>-74002</v>
      </c>
      <c r="W48" s="172">
        <f t="shared" si="7"/>
        <v>-1</v>
      </c>
      <c r="X48" s="173"/>
    </row>
    <row r="49" spans="1:24" s="2" customFormat="1" ht="17.100000000000001" customHeight="1" x14ac:dyDescent="0.2">
      <c r="A49" s="182">
        <v>1170</v>
      </c>
      <c r="B49" s="193" t="s">
        <v>18</v>
      </c>
      <c r="C49" s="191"/>
      <c r="D49" s="170"/>
      <c r="E49" s="170"/>
      <c r="F49" s="170"/>
      <c r="G49" s="171">
        <f t="shared" si="0"/>
        <v>0</v>
      </c>
      <c r="H49" s="172" t="str">
        <f t="shared" si="1"/>
        <v>-</v>
      </c>
      <c r="I49" s="495"/>
      <c r="J49" s="170"/>
      <c r="K49" s="170"/>
      <c r="L49" s="171">
        <f t="shared" si="2"/>
        <v>0</v>
      </c>
      <c r="M49" s="172" t="str">
        <f t="shared" si="3"/>
        <v>-</v>
      </c>
      <c r="N49" s="173"/>
      <c r="O49" s="170"/>
      <c r="P49" s="170"/>
      <c r="Q49" s="171">
        <f t="shared" si="4"/>
        <v>0</v>
      </c>
      <c r="R49" s="172" t="str">
        <f t="shared" si="5"/>
        <v>-</v>
      </c>
      <c r="S49" s="173"/>
      <c r="T49" s="170"/>
      <c r="U49" s="170"/>
      <c r="V49" s="171">
        <f t="shared" si="6"/>
        <v>0</v>
      </c>
      <c r="W49" s="172" t="str">
        <f t="shared" si="7"/>
        <v>-</v>
      </c>
      <c r="X49" s="173"/>
    </row>
    <row r="50" spans="1:24" s="2" customFormat="1" ht="17.100000000000001" customHeight="1" x14ac:dyDescent="0.2">
      <c r="A50" s="147">
        <v>1200</v>
      </c>
      <c r="B50" s="208" t="s">
        <v>19</v>
      </c>
      <c r="C50" s="207">
        <f t="shared" ref="C50:F50" si="53">SUM(C51+C52)</f>
        <v>2024620</v>
      </c>
      <c r="D50" s="207">
        <f t="shared" si="53"/>
        <v>2128200</v>
      </c>
      <c r="E50" s="207">
        <f t="shared" si="53"/>
        <v>489449</v>
      </c>
      <c r="F50" s="207">
        <f t="shared" si="53"/>
        <v>492246</v>
      </c>
      <c r="G50" s="203">
        <f t="shared" si="0"/>
        <v>2797</v>
      </c>
      <c r="H50" s="204">
        <f t="shared" si="1"/>
        <v>5.7145892626198035E-3</v>
      </c>
      <c r="I50" s="497"/>
      <c r="J50" s="207">
        <f t="shared" ref="J50:K50" si="54">SUM(J51+J52)</f>
        <v>1005523</v>
      </c>
      <c r="K50" s="207">
        <f t="shared" si="54"/>
        <v>0</v>
      </c>
      <c r="L50" s="203">
        <f t="shared" si="2"/>
        <v>-1005523</v>
      </c>
      <c r="M50" s="204">
        <f t="shared" si="3"/>
        <v>-1</v>
      </c>
      <c r="N50" s="214"/>
      <c r="O50" s="207">
        <f t="shared" ref="O50:P50" si="55">SUM(O51+O52)</f>
        <v>1494481</v>
      </c>
      <c r="P50" s="207">
        <f t="shared" si="55"/>
        <v>0</v>
      </c>
      <c r="Q50" s="203">
        <f t="shared" si="4"/>
        <v>-1494481</v>
      </c>
      <c r="R50" s="204">
        <f t="shared" si="5"/>
        <v>-1</v>
      </c>
      <c r="S50" s="214"/>
      <c r="T50" s="207">
        <f t="shared" ref="T50:U50" si="56">SUM(T51+T52)</f>
        <v>2128200</v>
      </c>
      <c r="U50" s="207">
        <f t="shared" si="56"/>
        <v>0</v>
      </c>
      <c r="V50" s="203">
        <f t="shared" si="6"/>
        <v>-2128200</v>
      </c>
      <c r="W50" s="204">
        <f t="shared" si="7"/>
        <v>-1</v>
      </c>
      <c r="X50" s="214"/>
    </row>
    <row r="51" spans="1:24" s="2" customFormat="1" ht="17.100000000000001" customHeight="1" x14ac:dyDescent="0.2">
      <c r="A51" s="182">
        <v>1210</v>
      </c>
      <c r="B51" s="190" t="s">
        <v>554</v>
      </c>
      <c r="C51" s="191">
        <v>1826584</v>
      </c>
      <c r="D51" s="170">
        <v>2006500</v>
      </c>
      <c r="E51" s="170">
        <f>454000-11801</f>
        <v>442199</v>
      </c>
      <c r="F51" s="170">
        <v>454434</v>
      </c>
      <c r="G51" s="171">
        <f t="shared" si="0"/>
        <v>12235</v>
      </c>
      <c r="H51" s="172">
        <f t="shared" si="1"/>
        <v>2.7668538372994964E-2</v>
      </c>
      <c r="I51" s="495"/>
      <c r="J51" s="170">
        <v>933546</v>
      </c>
      <c r="K51" s="170"/>
      <c r="L51" s="171">
        <f t="shared" si="2"/>
        <v>-933546</v>
      </c>
      <c r="M51" s="172">
        <f t="shared" si="3"/>
        <v>-1</v>
      </c>
      <c r="N51" s="173"/>
      <c r="O51" s="170">
        <v>1393176</v>
      </c>
      <c r="P51" s="170"/>
      <c r="Q51" s="171">
        <f t="shared" si="4"/>
        <v>-1393176</v>
      </c>
      <c r="R51" s="172">
        <f t="shared" si="5"/>
        <v>-1</v>
      </c>
      <c r="S51" s="173"/>
      <c r="T51" s="170">
        <f>D51</f>
        <v>2006500</v>
      </c>
      <c r="U51" s="170"/>
      <c r="V51" s="171">
        <f t="shared" si="6"/>
        <v>-2006500</v>
      </c>
      <c r="W51" s="172">
        <f t="shared" si="7"/>
        <v>-1</v>
      </c>
      <c r="X51" s="173"/>
    </row>
    <row r="52" spans="1:24" s="2" customFormat="1" ht="17.100000000000001" customHeight="1" x14ac:dyDescent="0.2">
      <c r="A52" s="182">
        <v>1220</v>
      </c>
      <c r="B52" s="190" t="s">
        <v>555</v>
      </c>
      <c r="C52" s="319">
        <f t="shared" ref="C52:F52" si="57">SUM(C53:C57)</f>
        <v>198036</v>
      </c>
      <c r="D52" s="319">
        <f t="shared" si="57"/>
        <v>121700</v>
      </c>
      <c r="E52" s="319">
        <f t="shared" si="57"/>
        <v>47250</v>
      </c>
      <c r="F52" s="319">
        <f t="shared" si="57"/>
        <v>37812</v>
      </c>
      <c r="G52" s="171">
        <f t="shared" si="0"/>
        <v>-9438</v>
      </c>
      <c r="H52" s="172">
        <f t="shared" si="1"/>
        <v>-0.19974603174603175</v>
      </c>
      <c r="I52" s="530" t="s">
        <v>685</v>
      </c>
      <c r="J52" s="319">
        <f t="shared" ref="J52:K52" si="58">SUM(J53:J57)</f>
        <v>71977</v>
      </c>
      <c r="K52" s="319">
        <f t="shared" si="58"/>
        <v>0</v>
      </c>
      <c r="L52" s="171">
        <f t="shared" si="2"/>
        <v>-71977</v>
      </c>
      <c r="M52" s="172">
        <f t="shared" si="3"/>
        <v>-1</v>
      </c>
      <c r="N52" s="519"/>
      <c r="O52" s="319">
        <f t="shared" ref="O52:P52" si="59">SUM(O53:O57)</f>
        <v>101305</v>
      </c>
      <c r="P52" s="319">
        <f t="shared" si="59"/>
        <v>0</v>
      </c>
      <c r="Q52" s="171">
        <f t="shared" si="4"/>
        <v>-101305</v>
      </c>
      <c r="R52" s="172">
        <f t="shared" si="5"/>
        <v>-1</v>
      </c>
      <c r="S52" s="519"/>
      <c r="T52" s="319">
        <f t="shared" ref="T52:U52" si="60">SUM(T53:T57)</f>
        <v>121700</v>
      </c>
      <c r="U52" s="319">
        <f t="shared" si="60"/>
        <v>0</v>
      </c>
      <c r="V52" s="171">
        <f t="shared" si="6"/>
        <v>-121700</v>
      </c>
      <c r="W52" s="172">
        <f t="shared" si="7"/>
        <v>-1</v>
      </c>
      <c r="X52" s="519"/>
    </row>
    <row r="53" spans="1:24" s="2" customFormat="1" ht="32.450000000000003" customHeight="1" x14ac:dyDescent="0.2">
      <c r="A53" s="325">
        <v>1221</v>
      </c>
      <c r="B53" s="187" t="s">
        <v>20</v>
      </c>
      <c r="C53" s="186">
        <v>194896</v>
      </c>
      <c r="D53" s="163">
        <v>117500</v>
      </c>
      <c r="E53" s="163">
        <v>46250</v>
      </c>
      <c r="F53" s="163">
        <v>36642</v>
      </c>
      <c r="G53" s="164">
        <f t="shared" si="0"/>
        <v>-9608</v>
      </c>
      <c r="H53" s="165">
        <f t="shared" si="1"/>
        <v>-0.20774054054054053</v>
      </c>
      <c r="I53" s="531"/>
      <c r="J53" s="163">
        <v>69977</v>
      </c>
      <c r="K53" s="163"/>
      <c r="L53" s="164">
        <f t="shared" si="2"/>
        <v>-69977</v>
      </c>
      <c r="M53" s="165">
        <f t="shared" si="3"/>
        <v>-1</v>
      </c>
      <c r="N53" s="520"/>
      <c r="O53" s="163">
        <v>98305</v>
      </c>
      <c r="P53" s="163"/>
      <c r="Q53" s="164">
        <f t="shared" si="4"/>
        <v>-98305</v>
      </c>
      <c r="R53" s="165">
        <f t="shared" si="5"/>
        <v>-1</v>
      </c>
      <c r="S53" s="520"/>
      <c r="T53" s="163">
        <f>D53</f>
        <v>117500</v>
      </c>
      <c r="U53" s="163"/>
      <c r="V53" s="164">
        <f t="shared" si="6"/>
        <v>-117500</v>
      </c>
      <c r="W53" s="165">
        <f t="shared" si="7"/>
        <v>-1</v>
      </c>
      <c r="X53" s="520"/>
    </row>
    <row r="54" spans="1:24" s="2" customFormat="1" ht="17.100000000000001" customHeight="1" x14ac:dyDescent="0.2">
      <c r="A54" s="325">
        <v>1222</v>
      </c>
      <c r="B54" s="187" t="s">
        <v>21</v>
      </c>
      <c r="C54" s="186"/>
      <c r="D54" s="163"/>
      <c r="E54" s="163"/>
      <c r="F54" s="163"/>
      <c r="G54" s="164">
        <f t="shared" si="0"/>
        <v>0</v>
      </c>
      <c r="H54" s="165" t="str">
        <f t="shared" si="1"/>
        <v>-</v>
      </c>
      <c r="I54" s="531"/>
      <c r="J54" s="163"/>
      <c r="K54" s="163"/>
      <c r="L54" s="164">
        <f t="shared" si="2"/>
        <v>0</v>
      </c>
      <c r="M54" s="165" t="str">
        <f t="shared" si="3"/>
        <v>-</v>
      </c>
      <c r="N54" s="520"/>
      <c r="O54" s="163"/>
      <c r="P54" s="163"/>
      <c r="Q54" s="164">
        <f t="shared" si="4"/>
        <v>0</v>
      </c>
      <c r="R54" s="165" t="str">
        <f t="shared" si="5"/>
        <v>-</v>
      </c>
      <c r="S54" s="520"/>
      <c r="T54" s="163"/>
      <c r="U54" s="163"/>
      <c r="V54" s="164">
        <f t="shared" si="6"/>
        <v>0</v>
      </c>
      <c r="W54" s="165" t="str">
        <f t="shared" si="7"/>
        <v>-</v>
      </c>
      <c r="X54" s="520"/>
    </row>
    <row r="55" spans="1:24" s="2" customFormat="1" ht="17.100000000000001" customHeight="1" x14ac:dyDescent="0.2">
      <c r="A55" s="325">
        <v>1223</v>
      </c>
      <c r="B55" s="69" t="s">
        <v>22</v>
      </c>
      <c r="C55" s="186"/>
      <c r="D55" s="163"/>
      <c r="E55" s="163"/>
      <c r="F55" s="163"/>
      <c r="G55" s="164">
        <f t="shared" si="0"/>
        <v>0</v>
      </c>
      <c r="H55" s="165" t="str">
        <f t="shared" si="1"/>
        <v>-</v>
      </c>
      <c r="I55" s="531"/>
      <c r="J55" s="163"/>
      <c r="K55" s="163"/>
      <c r="L55" s="164">
        <f t="shared" si="2"/>
        <v>0</v>
      </c>
      <c r="M55" s="165" t="str">
        <f t="shared" si="3"/>
        <v>-</v>
      </c>
      <c r="N55" s="520"/>
      <c r="O55" s="163"/>
      <c r="P55" s="163"/>
      <c r="Q55" s="164">
        <f t="shared" si="4"/>
        <v>0</v>
      </c>
      <c r="R55" s="165" t="str">
        <f t="shared" si="5"/>
        <v>-</v>
      </c>
      <c r="S55" s="520"/>
      <c r="T55" s="163"/>
      <c r="U55" s="163"/>
      <c r="V55" s="164">
        <f t="shared" si="6"/>
        <v>0</v>
      </c>
      <c r="W55" s="165" t="str">
        <f t="shared" si="7"/>
        <v>-</v>
      </c>
      <c r="X55" s="520"/>
    </row>
    <row r="56" spans="1:24" s="2" customFormat="1" ht="17.100000000000001" customHeight="1" x14ac:dyDescent="0.2">
      <c r="A56" s="325">
        <v>1227</v>
      </c>
      <c r="B56" s="187" t="s">
        <v>23</v>
      </c>
      <c r="C56" s="186"/>
      <c r="D56" s="163"/>
      <c r="E56" s="163"/>
      <c r="F56" s="163"/>
      <c r="G56" s="164">
        <f t="shared" si="0"/>
        <v>0</v>
      </c>
      <c r="H56" s="165" t="str">
        <f t="shared" si="1"/>
        <v>-</v>
      </c>
      <c r="I56" s="531"/>
      <c r="J56" s="163"/>
      <c r="K56" s="163"/>
      <c r="L56" s="164">
        <f t="shared" si="2"/>
        <v>0</v>
      </c>
      <c r="M56" s="165" t="str">
        <f t="shared" si="3"/>
        <v>-</v>
      </c>
      <c r="N56" s="520"/>
      <c r="O56" s="163"/>
      <c r="P56" s="163"/>
      <c r="Q56" s="164">
        <f t="shared" si="4"/>
        <v>0</v>
      </c>
      <c r="R56" s="165" t="str">
        <f t="shared" si="5"/>
        <v>-</v>
      </c>
      <c r="S56" s="520"/>
      <c r="T56" s="163"/>
      <c r="U56" s="163"/>
      <c r="V56" s="164">
        <f t="shared" si="6"/>
        <v>0</v>
      </c>
      <c r="W56" s="165" t="str">
        <f t="shared" si="7"/>
        <v>-</v>
      </c>
      <c r="X56" s="520"/>
    </row>
    <row r="57" spans="1:24" s="2" customFormat="1" ht="35.450000000000003" customHeight="1" x14ac:dyDescent="0.2">
      <c r="A57" s="325">
        <v>1228</v>
      </c>
      <c r="B57" s="187" t="s">
        <v>277</v>
      </c>
      <c r="C57" s="186">
        <v>3140</v>
      </c>
      <c r="D57" s="163">
        <v>4200</v>
      </c>
      <c r="E57" s="163">
        <v>1000</v>
      </c>
      <c r="F57" s="163">
        <v>1170</v>
      </c>
      <c r="G57" s="164">
        <f t="shared" si="0"/>
        <v>170</v>
      </c>
      <c r="H57" s="165">
        <f t="shared" si="1"/>
        <v>0.17</v>
      </c>
      <c r="I57" s="532"/>
      <c r="J57" s="163">
        <v>2000</v>
      </c>
      <c r="K57" s="163"/>
      <c r="L57" s="164">
        <f t="shared" si="2"/>
        <v>-2000</v>
      </c>
      <c r="M57" s="165">
        <f t="shared" si="3"/>
        <v>-1</v>
      </c>
      <c r="N57" s="521"/>
      <c r="O57" s="163">
        <v>3000</v>
      </c>
      <c r="P57" s="163"/>
      <c r="Q57" s="164">
        <f t="shared" si="4"/>
        <v>-3000</v>
      </c>
      <c r="R57" s="165">
        <f t="shared" si="5"/>
        <v>-1</v>
      </c>
      <c r="S57" s="521"/>
      <c r="T57" s="163">
        <f>D57</f>
        <v>4200</v>
      </c>
      <c r="U57" s="163"/>
      <c r="V57" s="164">
        <f t="shared" si="6"/>
        <v>-4200</v>
      </c>
      <c r="W57" s="165">
        <f t="shared" si="7"/>
        <v>-1</v>
      </c>
      <c r="X57" s="521"/>
    </row>
    <row r="58" spans="1:24" s="2" customFormat="1" ht="17.100000000000001" customHeight="1" x14ac:dyDescent="0.2">
      <c r="A58" s="320">
        <v>2000</v>
      </c>
      <c r="B58" s="330" t="s">
        <v>24</v>
      </c>
      <c r="C58" s="321">
        <f>C59+C66+C103+C129+C139</f>
        <v>1700256</v>
      </c>
      <c r="D58" s="321">
        <f>D59+D66+D103+D129+D139</f>
        <v>1771707</v>
      </c>
      <c r="E58" s="321">
        <f>E59+E66+E103+E129+E139</f>
        <v>548704</v>
      </c>
      <c r="F58" s="321">
        <f>F59+F66+F103+F129+F139</f>
        <v>478928</v>
      </c>
      <c r="G58" s="322">
        <f>F58-E58</f>
        <v>-69776</v>
      </c>
      <c r="H58" s="323">
        <f>IFERROR(G58/ABS(E58), "-")</f>
        <v>-0.12716510176707296</v>
      </c>
      <c r="I58" s="499"/>
      <c r="J58" s="321">
        <f>J59+J66+J103+J129+J139</f>
        <v>918869</v>
      </c>
      <c r="K58" s="321">
        <f>K59+K66+K103+K129+K139</f>
        <v>0</v>
      </c>
      <c r="L58" s="322">
        <f t="shared" si="2"/>
        <v>-918869</v>
      </c>
      <c r="M58" s="323">
        <f t="shared" si="3"/>
        <v>-1</v>
      </c>
      <c r="N58" s="321"/>
      <c r="O58" s="321">
        <f>O59+O66+O103+O129+O139</f>
        <v>1313958</v>
      </c>
      <c r="P58" s="321">
        <f>P59+P66+P103+P129+P139</f>
        <v>0</v>
      </c>
      <c r="Q58" s="322">
        <f>P58-O58</f>
        <v>-1313958</v>
      </c>
      <c r="R58" s="323">
        <f t="shared" si="5"/>
        <v>-1</v>
      </c>
      <c r="S58" s="321"/>
      <c r="T58" s="321">
        <f>T59+T66+T103+T129+T139</f>
        <v>1771707</v>
      </c>
      <c r="U58" s="321">
        <f>U59+U66+U103+U129+U139</f>
        <v>0</v>
      </c>
      <c r="V58" s="322">
        <f>U58-T58</f>
        <v>-1771707</v>
      </c>
      <c r="W58" s="323">
        <f t="shared" si="7"/>
        <v>-1</v>
      </c>
      <c r="X58" s="324"/>
    </row>
    <row r="59" spans="1:24" s="2" customFormat="1" ht="17.100000000000001" customHeight="1" x14ac:dyDescent="0.2">
      <c r="A59" s="147">
        <v>2100</v>
      </c>
      <c r="B59" s="206" t="s">
        <v>128</v>
      </c>
      <c r="C59" s="202">
        <f>C60+C63</f>
        <v>1449</v>
      </c>
      <c r="D59" s="202">
        <f>D60+D63</f>
        <v>2000</v>
      </c>
      <c r="E59" s="202">
        <f>E60+E63</f>
        <v>0</v>
      </c>
      <c r="F59" s="202">
        <f>F60+F63</f>
        <v>1512</v>
      </c>
      <c r="G59" s="203">
        <f>F59-E59</f>
        <v>1512</v>
      </c>
      <c r="H59" s="204" t="str">
        <f t="shared" si="1"/>
        <v>-</v>
      </c>
      <c r="I59" s="497"/>
      <c r="J59" s="202">
        <f>J60+J63</f>
        <v>1550</v>
      </c>
      <c r="K59" s="202">
        <f>K60+K63</f>
        <v>0</v>
      </c>
      <c r="L59" s="203">
        <f t="shared" si="2"/>
        <v>-1550</v>
      </c>
      <c r="M59" s="204">
        <f t="shared" si="3"/>
        <v>-1</v>
      </c>
      <c r="N59" s="214"/>
      <c r="O59" s="202">
        <f>O60+O63</f>
        <v>2000</v>
      </c>
      <c r="P59" s="202">
        <f>P60+P63</f>
        <v>0</v>
      </c>
      <c r="Q59" s="203">
        <f t="shared" si="4"/>
        <v>-2000</v>
      </c>
      <c r="R59" s="204">
        <f t="shared" si="5"/>
        <v>-1</v>
      </c>
      <c r="S59" s="214"/>
      <c r="T59" s="202">
        <f>T60+T63</f>
        <v>2000</v>
      </c>
      <c r="U59" s="202">
        <f>U60+U63</f>
        <v>0</v>
      </c>
      <c r="V59" s="203">
        <f t="shared" si="6"/>
        <v>-2000</v>
      </c>
      <c r="W59" s="204">
        <f t="shared" si="7"/>
        <v>-1</v>
      </c>
      <c r="X59" s="214"/>
    </row>
    <row r="60" spans="1:24" s="326" customFormat="1" ht="17.100000000000001" customHeight="1" x14ac:dyDescent="0.2">
      <c r="A60" s="182">
        <v>2110</v>
      </c>
      <c r="B60" s="169" t="s">
        <v>25</v>
      </c>
      <c r="C60" s="329">
        <f>C61+C62</f>
        <v>24</v>
      </c>
      <c r="D60" s="329">
        <f t="shared" ref="D60:K60" si="61">D61+D62</f>
        <v>0</v>
      </c>
      <c r="E60" s="329">
        <f t="shared" si="61"/>
        <v>0</v>
      </c>
      <c r="F60" s="329">
        <f t="shared" si="61"/>
        <v>0</v>
      </c>
      <c r="G60" s="329">
        <f t="shared" si="61"/>
        <v>0</v>
      </c>
      <c r="H60" s="329">
        <f t="shared" si="61"/>
        <v>0</v>
      </c>
      <c r="I60" s="500">
        <f t="shared" si="61"/>
        <v>0</v>
      </c>
      <c r="J60" s="329">
        <f t="shared" si="61"/>
        <v>0</v>
      </c>
      <c r="K60" s="329">
        <f t="shared" si="61"/>
        <v>0</v>
      </c>
      <c r="L60" s="329">
        <f t="shared" ref="L60" si="62">L61+L62</f>
        <v>0</v>
      </c>
      <c r="M60" s="329">
        <f t="shared" ref="M60" si="63">M61+M62</f>
        <v>0</v>
      </c>
      <c r="N60" s="329">
        <f t="shared" ref="N60" si="64">N61+N62</f>
        <v>0</v>
      </c>
      <c r="O60" s="329">
        <f t="shared" ref="O60" si="65">O61+O62</f>
        <v>0</v>
      </c>
      <c r="P60" s="329">
        <f t="shared" ref="P60" si="66">P61+P62</f>
        <v>0</v>
      </c>
      <c r="Q60" s="329">
        <f t="shared" ref="Q60" si="67">Q61+Q62</f>
        <v>0</v>
      </c>
      <c r="R60" s="329">
        <f t="shared" ref="R60:S60" si="68">R61+R62</f>
        <v>0</v>
      </c>
      <c r="S60" s="329">
        <f t="shared" si="68"/>
        <v>0</v>
      </c>
      <c r="T60" s="329">
        <f t="shared" ref="T60" si="69">T61+T62</f>
        <v>0</v>
      </c>
      <c r="U60" s="329"/>
      <c r="V60" s="171">
        <f t="shared" si="6"/>
        <v>0</v>
      </c>
      <c r="W60" s="172" t="str">
        <f t="shared" si="7"/>
        <v>-</v>
      </c>
      <c r="X60" s="210"/>
    </row>
    <row r="61" spans="1:24" s="326" customFormat="1" ht="17.100000000000001" customHeight="1" x14ac:dyDescent="0.2">
      <c r="A61" s="325">
        <v>2111</v>
      </c>
      <c r="B61" s="97" t="s">
        <v>600</v>
      </c>
      <c r="C61" s="329"/>
      <c r="D61" s="329"/>
      <c r="E61" s="329"/>
      <c r="F61" s="329"/>
      <c r="G61" s="171"/>
      <c r="H61" s="172"/>
      <c r="I61" s="491"/>
      <c r="J61" s="329"/>
      <c r="K61" s="329"/>
      <c r="L61" s="171"/>
      <c r="M61" s="172"/>
      <c r="N61" s="210"/>
      <c r="O61" s="329"/>
      <c r="P61" s="329"/>
      <c r="Q61" s="171"/>
      <c r="R61" s="172"/>
      <c r="S61" s="210"/>
      <c r="T61" s="329"/>
      <c r="U61" s="329"/>
      <c r="V61" s="171"/>
      <c r="W61" s="172"/>
      <c r="X61" s="210"/>
    </row>
    <row r="62" spans="1:24" s="326" customFormat="1" ht="17.100000000000001" customHeight="1" x14ac:dyDescent="0.2">
      <c r="A62" s="325">
        <v>2112</v>
      </c>
      <c r="B62" s="97" t="s">
        <v>601</v>
      </c>
      <c r="C62" s="329">
        <v>24</v>
      </c>
      <c r="D62" s="329"/>
      <c r="E62" s="329"/>
      <c r="F62" s="329"/>
      <c r="G62" s="171"/>
      <c r="H62" s="172"/>
      <c r="I62" s="491"/>
      <c r="J62" s="329"/>
      <c r="K62" s="329"/>
      <c r="L62" s="171"/>
      <c r="M62" s="172"/>
      <c r="N62" s="210"/>
      <c r="O62" s="329"/>
      <c r="P62" s="329"/>
      <c r="Q62" s="171"/>
      <c r="R62" s="172"/>
      <c r="S62" s="210"/>
      <c r="T62" s="329"/>
      <c r="U62" s="329"/>
      <c r="V62" s="171"/>
      <c r="W62" s="172"/>
      <c r="X62" s="210"/>
    </row>
    <row r="63" spans="1:24" s="326" customFormat="1" ht="17.100000000000001" customHeight="1" x14ac:dyDescent="0.2">
      <c r="A63" s="182">
        <v>2120</v>
      </c>
      <c r="B63" s="169" t="s">
        <v>26</v>
      </c>
      <c r="C63" s="329">
        <f>C64+C65</f>
        <v>1425</v>
      </c>
      <c r="D63" s="329">
        <f t="shared" ref="D63:J63" si="70">D64+D65</f>
        <v>2000</v>
      </c>
      <c r="E63" s="329">
        <f t="shared" si="70"/>
        <v>0</v>
      </c>
      <c r="F63" s="329">
        <f t="shared" si="70"/>
        <v>1512</v>
      </c>
      <c r="G63" s="329">
        <f t="shared" si="70"/>
        <v>0</v>
      </c>
      <c r="H63" s="329">
        <f t="shared" si="70"/>
        <v>0</v>
      </c>
      <c r="I63" s="500">
        <f t="shared" si="70"/>
        <v>0</v>
      </c>
      <c r="J63" s="329">
        <f t="shared" si="70"/>
        <v>1550</v>
      </c>
      <c r="K63" s="329">
        <f t="shared" ref="K63" si="71">K64+K65</f>
        <v>0</v>
      </c>
      <c r="L63" s="329">
        <f t="shared" ref="L63" si="72">L64+L65</f>
        <v>0</v>
      </c>
      <c r="M63" s="329">
        <f t="shared" ref="M63" si="73">M64+M65</f>
        <v>0</v>
      </c>
      <c r="N63" s="329">
        <f t="shared" ref="N63" si="74">N64+N65</f>
        <v>0</v>
      </c>
      <c r="O63" s="329">
        <f t="shared" ref="O63" si="75">O64+O65</f>
        <v>2000</v>
      </c>
      <c r="P63" s="329">
        <f t="shared" ref="P63" si="76">P64+P65</f>
        <v>0</v>
      </c>
      <c r="Q63" s="329">
        <f t="shared" ref="Q63" si="77">Q64+Q65</f>
        <v>0</v>
      </c>
      <c r="R63" s="329">
        <f t="shared" ref="R63" si="78">R64+R65</f>
        <v>0</v>
      </c>
      <c r="S63" s="329">
        <f t="shared" ref="S63" si="79">S64+S65</f>
        <v>0</v>
      </c>
      <c r="T63" s="329">
        <f t="shared" ref="T63" si="80">T64+T65</f>
        <v>2000</v>
      </c>
      <c r="U63" s="329"/>
      <c r="V63" s="171">
        <f t="shared" si="6"/>
        <v>-2000</v>
      </c>
      <c r="W63" s="172">
        <f t="shared" si="7"/>
        <v>-1</v>
      </c>
      <c r="X63" s="210"/>
    </row>
    <row r="64" spans="1:24" s="326" customFormat="1" ht="17.100000000000001" customHeight="1" x14ac:dyDescent="0.2">
      <c r="A64" s="325">
        <v>2121</v>
      </c>
      <c r="B64" s="97" t="s">
        <v>600</v>
      </c>
      <c r="C64" s="329">
        <v>555</v>
      </c>
      <c r="D64" s="329">
        <v>500</v>
      </c>
      <c r="E64" s="329"/>
      <c r="F64" s="329">
        <v>240</v>
      </c>
      <c r="G64" s="171"/>
      <c r="H64" s="172"/>
      <c r="I64" s="491"/>
      <c r="J64" s="329">
        <v>250</v>
      </c>
      <c r="K64" s="329"/>
      <c r="L64" s="171"/>
      <c r="M64" s="172"/>
      <c r="N64" s="210"/>
      <c r="O64" s="329">
        <v>500</v>
      </c>
      <c r="P64" s="329"/>
      <c r="Q64" s="171"/>
      <c r="R64" s="172"/>
      <c r="S64" s="210"/>
      <c r="T64" s="329">
        <f>D64</f>
        <v>500</v>
      </c>
      <c r="U64" s="329"/>
      <c r="V64" s="171"/>
      <c r="W64" s="172"/>
      <c r="X64" s="210"/>
    </row>
    <row r="65" spans="1:24" s="326" customFormat="1" ht="17.100000000000001" customHeight="1" x14ac:dyDescent="0.2">
      <c r="A65" s="325">
        <v>2122</v>
      </c>
      <c r="B65" s="97" t="s">
        <v>601</v>
      </c>
      <c r="C65" s="329">
        <v>870</v>
      </c>
      <c r="D65" s="329">
        <v>1500</v>
      </c>
      <c r="E65" s="329"/>
      <c r="F65" s="329">
        <v>1272</v>
      </c>
      <c r="G65" s="171"/>
      <c r="H65" s="172"/>
      <c r="I65" s="491"/>
      <c r="J65" s="329">
        <v>1300</v>
      </c>
      <c r="K65" s="329"/>
      <c r="L65" s="171"/>
      <c r="M65" s="172"/>
      <c r="N65" s="210"/>
      <c r="O65" s="329">
        <v>1500</v>
      </c>
      <c r="P65" s="329"/>
      <c r="Q65" s="171"/>
      <c r="R65" s="172"/>
      <c r="S65" s="210"/>
      <c r="T65" s="329">
        <f>D65</f>
        <v>1500</v>
      </c>
      <c r="U65" s="329"/>
      <c r="V65" s="171"/>
      <c r="W65" s="172"/>
      <c r="X65" s="210"/>
    </row>
    <row r="66" spans="1:24" s="2" customFormat="1" ht="17.100000000000001" customHeight="1" x14ac:dyDescent="0.2">
      <c r="A66" s="147">
        <v>2200</v>
      </c>
      <c r="B66" s="208" t="s">
        <v>27</v>
      </c>
      <c r="C66" s="207">
        <f>C67+C68+C74+C82+C89+C90+C96+C102</f>
        <v>723168</v>
      </c>
      <c r="D66" s="207">
        <f t="shared" ref="D66:F66" si="81">D67+D68+D74+D82+D89+D90+D96+D102</f>
        <v>892655</v>
      </c>
      <c r="E66" s="207">
        <f t="shared" si="81"/>
        <v>337166</v>
      </c>
      <c r="F66" s="207">
        <f t="shared" si="81"/>
        <v>270494</v>
      </c>
      <c r="G66" s="203">
        <f t="shared" si="0"/>
        <v>-66672</v>
      </c>
      <c r="H66" s="204">
        <f t="shared" si="1"/>
        <v>-0.19774235836353607</v>
      </c>
      <c r="I66" s="497"/>
      <c r="J66" s="207">
        <f t="shared" ref="J66:K66" si="82">J67+J68+J74+J82+J89+J90+J96+J102</f>
        <v>484884</v>
      </c>
      <c r="K66" s="207">
        <f t="shared" si="82"/>
        <v>0</v>
      </c>
      <c r="L66" s="203">
        <f t="shared" si="2"/>
        <v>-484884</v>
      </c>
      <c r="M66" s="204">
        <f t="shared" si="3"/>
        <v>-1</v>
      </c>
      <c r="N66" s="214"/>
      <c r="O66" s="207">
        <f t="shared" ref="O66:P66" si="83">O67+O68+O74+O82+O89+O90+O96+O102</f>
        <v>651498</v>
      </c>
      <c r="P66" s="207">
        <f t="shared" si="83"/>
        <v>0</v>
      </c>
      <c r="Q66" s="203">
        <f t="shared" si="4"/>
        <v>-651498</v>
      </c>
      <c r="R66" s="204">
        <f t="shared" si="5"/>
        <v>-1</v>
      </c>
      <c r="S66" s="214"/>
      <c r="T66" s="207">
        <f t="shared" ref="T66:U66" si="84">T67+T68+T74+T82+T89+T90+T96+T102</f>
        <v>892655</v>
      </c>
      <c r="U66" s="207">
        <f t="shared" si="84"/>
        <v>0</v>
      </c>
      <c r="V66" s="203">
        <f t="shared" si="6"/>
        <v>-892655</v>
      </c>
      <c r="W66" s="204">
        <f t="shared" si="7"/>
        <v>-1</v>
      </c>
      <c r="X66" s="214"/>
    </row>
    <row r="67" spans="1:24" s="326" customFormat="1" ht="17.100000000000001" customHeight="1" x14ac:dyDescent="0.2">
      <c r="A67" s="182">
        <v>2210</v>
      </c>
      <c r="B67" s="193" t="s">
        <v>333</v>
      </c>
      <c r="C67" s="191">
        <v>14239</v>
      </c>
      <c r="D67" s="191">
        <v>14240</v>
      </c>
      <c r="E67" s="191">
        <v>3639</v>
      </c>
      <c r="F67" s="191">
        <v>3498</v>
      </c>
      <c r="G67" s="171">
        <f t="shared" ref="G67:G121" si="85">F67-E67</f>
        <v>-141</v>
      </c>
      <c r="H67" s="172">
        <f t="shared" ref="H67:H121" si="86">IFERROR(G67/ABS(E67), "-")</f>
        <v>-3.8746908491343775E-2</v>
      </c>
      <c r="I67" s="501"/>
      <c r="J67" s="191">
        <v>7447</v>
      </c>
      <c r="K67" s="191">
        <v>0</v>
      </c>
      <c r="L67" s="171">
        <f t="shared" si="2"/>
        <v>-7447</v>
      </c>
      <c r="M67" s="172">
        <f t="shared" si="3"/>
        <v>-1</v>
      </c>
      <c r="N67" s="331"/>
      <c r="O67" s="191">
        <v>10850</v>
      </c>
      <c r="P67" s="191">
        <v>0</v>
      </c>
      <c r="Q67" s="171">
        <f t="shared" si="4"/>
        <v>-10850</v>
      </c>
      <c r="R67" s="172">
        <f t="shared" si="5"/>
        <v>-1</v>
      </c>
      <c r="S67" s="331"/>
      <c r="T67" s="191">
        <f>D67</f>
        <v>14240</v>
      </c>
      <c r="U67" s="191">
        <v>0</v>
      </c>
      <c r="V67" s="171">
        <f t="shared" si="6"/>
        <v>-14240</v>
      </c>
      <c r="W67" s="172">
        <f t="shared" si="7"/>
        <v>-1</v>
      </c>
      <c r="X67" s="331"/>
    </row>
    <row r="68" spans="1:24" s="326" customFormat="1" ht="17.100000000000001" customHeight="1" x14ac:dyDescent="0.2">
      <c r="A68" s="182">
        <v>2220</v>
      </c>
      <c r="B68" s="190" t="s">
        <v>28</v>
      </c>
      <c r="C68" s="319">
        <f>SUM(C69:C73)</f>
        <v>373600</v>
      </c>
      <c r="D68" s="319">
        <f t="shared" ref="D68:F68" si="87">SUM(D69:D73)</f>
        <v>532399</v>
      </c>
      <c r="E68" s="319">
        <f t="shared" si="87"/>
        <v>215857</v>
      </c>
      <c r="F68" s="319">
        <f t="shared" si="87"/>
        <v>180633</v>
      </c>
      <c r="G68" s="171">
        <f t="shared" si="85"/>
        <v>-35224</v>
      </c>
      <c r="H68" s="172">
        <f t="shared" si="86"/>
        <v>-0.16318210667247299</v>
      </c>
      <c r="I68" s="522" t="s">
        <v>686</v>
      </c>
      <c r="J68" s="319">
        <f t="shared" ref="J68:K68" si="88">SUM(J69:J73)</f>
        <v>293746</v>
      </c>
      <c r="K68" s="319">
        <f t="shared" si="88"/>
        <v>0</v>
      </c>
      <c r="L68" s="171">
        <f t="shared" si="2"/>
        <v>-293746</v>
      </c>
      <c r="M68" s="172">
        <f t="shared" si="3"/>
        <v>-1</v>
      </c>
      <c r="N68" s="513"/>
      <c r="O68" s="319">
        <f t="shared" ref="O68:P68" si="89">SUM(O69:O73)</f>
        <v>363697</v>
      </c>
      <c r="P68" s="319">
        <f t="shared" si="89"/>
        <v>0</v>
      </c>
      <c r="Q68" s="171">
        <f t="shared" si="4"/>
        <v>-363697</v>
      </c>
      <c r="R68" s="172">
        <f t="shared" si="5"/>
        <v>-1</v>
      </c>
      <c r="S68" s="513"/>
      <c r="T68" s="319">
        <f t="shared" ref="T68:U68" si="90">SUM(T69:T73)</f>
        <v>532399</v>
      </c>
      <c r="U68" s="319">
        <f t="shared" si="90"/>
        <v>0</v>
      </c>
      <c r="V68" s="171">
        <f t="shared" si="6"/>
        <v>-532399</v>
      </c>
      <c r="W68" s="172">
        <f t="shared" si="7"/>
        <v>-1</v>
      </c>
      <c r="X68" s="513"/>
    </row>
    <row r="69" spans="1:24" s="2" customFormat="1" ht="17.100000000000001" customHeight="1" x14ac:dyDescent="0.2">
      <c r="A69" s="325">
        <v>2221</v>
      </c>
      <c r="B69" s="187" t="s">
        <v>334</v>
      </c>
      <c r="C69" s="186">
        <v>130613</v>
      </c>
      <c r="D69" s="163">
        <v>301417</v>
      </c>
      <c r="E69" s="163">
        <v>146959</v>
      </c>
      <c r="F69" s="163">
        <v>119257</v>
      </c>
      <c r="G69" s="164">
        <f t="shared" si="85"/>
        <v>-27702</v>
      </c>
      <c r="H69" s="165">
        <f t="shared" si="86"/>
        <v>-0.18850155485543588</v>
      </c>
      <c r="I69" s="523"/>
      <c r="J69" s="163">
        <v>170000</v>
      </c>
      <c r="K69" s="163"/>
      <c r="L69" s="164">
        <f t="shared" si="2"/>
        <v>-170000</v>
      </c>
      <c r="M69" s="165">
        <f t="shared" si="3"/>
        <v>-1</v>
      </c>
      <c r="N69" s="514"/>
      <c r="O69" s="163">
        <v>193000</v>
      </c>
      <c r="P69" s="163"/>
      <c r="Q69" s="164">
        <f t="shared" si="4"/>
        <v>-193000</v>
      </c>
      <c r="R69" s="165">
        <f t="shared" si="5"/>
        <v>-1</v>
      </c>
      <c r="S69" s="514"/>
      <c r="T69" s="163">
        <f>D69</f>
        <v>301417</v>
      </c>
      <c r="U69" s="163"/>
      <c r="V69" s="164">
        <f t="shared" si="6"/>
        <v>-301417</v>
      </c>
      <c r="W69" s="165">
        <f t="shared" si="7"/>
        <v>-1</v>
      </c>
      <c r="X69" s="514"/>
    </row>
    <row r="70" spans="1:24" s="4" customFormat="1" ht="17.100000000000001" customHeight="1" x14ac:dyDescent="0.2">
      <c r="A70" s="325">
        <v>2222</v>
      </c>
      <c r="B70" s="187" t="s">
        <v>546</v>
      </c>
      <c r="C70" s="186">
        <v>47619</v>
      </c>
      <c r="D70" s="163">
        <v>64412</v>
      </c>
      <c r="E70" s="163">
        <v>15490</v>
      </c>
      <c r="F70" s="163">
        <v>14709</v>
      </c>
      <c r="G70" s="164">
        <f t="shared" si="85"/>
        <v>-781</v>
      </c>
      <c r="H70" s="165">
        <f t="shared" si="86"/>
        <v>-5.0419625564880569E-2</v>
      </c>
      <c r="I70" s="523"/>
      <c r="J70" s="163">
        <v>33239</v>
      </c>
      <c r="K70" s="163"/>
      <c r="L70" s="164">
        <f t="shared" ref="L70:L134" si="91">K70-J70</f>
        <v>-33239</v>
      </c>
      <c r="M70" s="165">
        <f t="shared" ref="M70:M134" si="92">IFERROR(L70/ABS(J70), "-")</f>
        <v>-1</v>
      </c>
      <c r="N70" s="514"/>
      <c r="O70" s="163">
        <v>49697</v>
      </c>
      <c r="P70" s="163"/>
      <c r="Q70" s="164">
        <f t="shared" ref="Q70:Q134" si="93">P70-O70</f>
        <v>-49697</v>
      </c>
      <c r="R70" s="165">
        <f t="shared" ref="R70:R134" si="94">IFERROR(Q70/ABS(O70), "-")</f>
        <v>-1</v>
      </c>
      <c r="S70" s="514"/>
      <c r="T70" s="163">
        <f t="shared" ref="T70:T72" si="95">D70</f>
        <v>64412</v>
      </c>
      <c r="U70" s="163"/>
      <c r="V70" s="164">
        <f t="shared" ref="V70:V134" si="96">U70-T70</f>
        <v>-64412</v>
      </c>
      <c r="W70" s="165">
        <f t="shared" ref="W70:W134" si="97">IFERROR(V70/ABS(T70), "-")</f>
        <v>-1</v>
      </c>
      <c r="X70" s="514"/>
    </row>
    <row r="71" spans="1:24" s="2" customFormat="1" ht="17.100000000000001" customHeight="1" x14ac:dyDescent="0.2">
      <c r="A71" s="325">
        <v>2223</v>
      </c>
      <c r="B71" s="187" t="s">
        <v>29</v>
      </c>
      <c r="C71" s="186">
        <v>166326</v>
      </c>
      <c r="D71" s="163">
        <v>135846</v>
      </c>
      <c r="E71" s="163">
        <v>45408</v>
      </c>
      <c r="F71" s="163">
        <v>39941</v>
      </c>
      <c r="G71" s="164">
        <f t="shared" si="85"/>
        <v>-5467</v>
      </c>
      <c r="H71" s="165">
        <f t="shared" si="86"/>
        <v>-0.12039728682170543</v>
      </c>
      <c r="I71" s="523"/>
      <c r="J71" s="163">
        <v>76007</v>
      </c>
      <c r="K71" s="163"/>
      <c r="L71" s="164">
        <f t="shared" si="91"/>
        <v>-76007</v>
      </c>
      <c r="M71" s="165">
        <f t="shared" si="92"/>
        <v>-1</v>
      </c>
      <c r="N71" s="514"/>
      <c r="O71" s="163">
        <v>100000</v>
      </c>
      <c r="P71" s="163"/>
      <c r="Q71" s="164">
        <f t="shared" si="93"/>
        <v>-100000</v>
      </c>
      <c r="R71" s="165">
        <f t="shared" si="94"/>
        <v>-1</v>
      </c>
      <c r="S71" s="514"/>
      <c r="T71" s="163">
        <f t="shared" si="95"/>
        <v>135846</v>
      </c>
      <c r="U71" s="163"/>
      <c r="V71" s="164">
        <f t="shared" si="96"/>
        <v>-135846</v>
      </c>
      <c r="W71" s="165">
        <f t="shared" si="97"/>
        <v>-1</v>
      </c>
      <c r="X71" s="514"/>
    </row>
    <row r="72" spans="1:24" s="2" customFormat="1" ht="30.6" customHeight="1" x14ac:dyDescent="0.2">
      <c r="A72" s="325">
        <v>2224</v>
      </c>
      <c r="B72" s="187" t="s">
        <v>129</v>
      </c>
      <c r="C72" s="186">
        <v>29042</v>
      </c>
      <c r="D72" s="163">
        <v>30724</v>
      </c>
      <c r="E72" s="163">
        <v>8000</v>
      </c>
      <c r="F72" s="163">
        <v>6726</v>
      </c>
      <c r="G72" s="164">
        <f t="shared" si="85"/>
        <v>-1274</v>
      </c>
      <c r="H72" s="165">
        <f t="shared" si="86"/>
        <v>-0.15925</v>
      </c>
      <c r="I72" s="523"/>
      <c r="J72" s="163">
        <v>14500</v>
      </c>
      <c r="K72" s="163"/>
      <c r="L72" s="164">
        <f t="shared" si="91"/>
        <v>-14500</v>
      </c>
      <c r="M72" s="165">
        <f t="shared" si="92"/>
        <v>-1</v>
      </c>
      <c r="N72" s="514"/>
      <c r="O72" s="163">
        <v>21000</v>
      </c>
      <c r="P72" s="163"/>
      <c r="Q72" s="164">
        <f t="shared" si="93"/>
        <v>-21000</v>
      </c>
      <c r="R72" s="165">
        <f t="shared" si="94"/>
        <v>-1</v>
      </c>
      <c r="S72" s="514"/>
      <c r="T72" s="163">
        <f t="shared" si="95"/>
        <v>30724</v>
      </c>
      <c r="U72" s="163"/>
      <c r="V72" s="164">
        <f t="shared" si="96"/>
        <v>-30724</v>
      </c>
      <c r="W72" s="165">
        <f t="shared" si="97"/>
        <v>-1</v>
      </c>
      <c r="X72" s="514"/>
    </row>
    <row r="73" spans="1:24" s="2" customFormat="1" ht="0.75" customHeight="1" x14ac:dyDescent="0.2">
      <c r="A73" s="325">
        <v>2229</v>
      </c>
      <c r="B73" s="187" t="s">
        <v>30</v>
      </c>
      <c r="C73" s="186"/>
      <c r="D73" s="163"/>
      <c r="E73" s="163"/>
      <c r="F73" s="163"/>
      <c r="G73" s="164">
        <f t="shared" si="85"/>
        <v>0</v>
      </c>
      <c r="H73" s="165" t="str">
        <f t="shared" si="86"/>
        <v>-</v>
      </c>
      <c r="I73" s="524"/>
      <c r="J73" s="163"/>
      <c r="K73" s="163"/>
      <c r="L73" s="164">
        <f t="shared" si="91"/>
        <v>0</v>
      </c>
      <c r="M73" s="165" t="str">
        <f t="shared" si="92"/>
        <v>-</v>
      </c>
      <c r="N73" s="515"/>
      <c r="O73" s="163"/>
      <c r="P73" s="163"/>
      <c r="Q73" s="164">
        <f t="shared" si="93"/>
        <v>0</v>
      </c>
      <c r="R73" s="165" t="str">
        <f t="shared" si="94"/>
        <v>-</v>
      </c>
      <c r="S73" s="515"/>
      <c r="T73" s="163"/>
      <c r="U73" s="163"/>
      <c r="V73" s="164">
        <f t="shared" si="96"/>
        <v>0</v>
      </c>
      <c r="W73" s="165" t="str">
        <f t="shared" si="97"/>
        <v>-</v>
      </c>
      <c r="X73" s="515"/>
    </row>
    <row r="74" spans="1:24" s="326" customFormat="1" ht="29.45" customHeight="1" x14ac:dyDescent="0.2">
      <c r="A74" s="182">
        <v>2230</v>
      </c>
      <c r="B74" s="190" t="s">
        <v>547</v>
      </c>
      <c r="C74" s="319">
        <f t="shared" ref="C74:F74" si="98">SUM(C75:C81)</f>
        <v>50195</v>
      </c>
      <c r="D74" s="319">
        <f t="shared" si="98"/>
        <v>56631</v>
      </c>
      <c r="E74" s="319">
        <f t="shared" si="98"/>
        <v>14245</v>
      </c>
      <c r="F74" s="319">
        <f t="shared" si="98"/>
        <v>16646</v>
      </c>
      <c r="G74" s="171">
        <f t="shared" si="85"/>
        <v>2401</v>
      </c>
      <c r="H74" s="172">
        <f t="shared" si="86"/>
        <v>0.16855036855036856</v>
      </c>
      <c r="I74" s="522" t="s">
        <v>687</v>
      </c>
      <c r="J74" s="319">
        <f t="shared" ref="J74:K74" si="99">SUM(J75:J81)</f>
        <v>28256</v>
      </c>
      <c r="K74" s="319">
        <f t="shared" si="99"/>
        <v>0</v>
      </c>
      <c r="L74" s="171">
        <f t="shared" si="91"/>
        <v>-28256</v>
      </c>
      <c r="M74" s="172">
        <f t="shared" si="92"/>
        <v>-1</v>
      </c>
      <c r="N74" s="513"/>
      <c r="O74" s="319">
        <f t="shared" ref="O74:P74" si="100">SUM(O75:O81)</f>
        <v>43061</v>
      </c>
      <c r="P74" s="319">
        <f t="shared" si="100"/>
        <v>0</v>
      </c>
      <c r="Q74" s="171">
        <f t="shared" si="93"/>
        <v>-43061</v>
      </c>
      <c r="R74" s="172">
        <f t="shared" si="94"/>
        <v>-1</v>
      </c>
      <c r="S74" s="513"/>
      <c r="T74" s="319">
        <f t="shared" ref="T74:U74" si="101">SUM(T75:T81)</f>
        <v>56631</v>
      </c>
      <c r="U74" s="319">
        <f t="shared" si="101"/>
        <v>0</v>
      </c>
      <c r="V74" s="171">
        <f t="shared" si="96"/>
        <v>-56631</v>
      </c>
      <c r="W74" s="172">
        <f t="shared" si="97"/>
        <v>-1</v>
      </c>
      <c r="X74" s="513"/>
    </row>
    <row r="75" spans="1:24" s="4" customFormat="1" ht="17.100000000000001" customHeight="1" x14ac:dyDescent="0.2">
      <c r="A75" s="325">
        <v>2231</v>
      </c>
      <c r="B75" s="187" t="s">
        <v>335</v>
      </c>
      <c r="C75" s="186"/>
      <c r="D75" s="163"/>
      <c r="E75" s="163"/>
      <c r="F75" s="163"/>
      <c r="G75" s="164">
        <f t="shared" si="85"/>
        <v>0</v>
      </c>
      <c r="H75" s="165" t="str">
        <f t="shared" si="86"/>
        <v>-</v>
      </c>
      <c r="I75" s="523"/>
      <c r="J75" s="163"/>
      <c r="K75" s="163"/>
      <c r="L75" s="164">
        <f t="shared" si="91"/>
        <v>0</v>
      </c>
      <c r="M75" s="165" t="str">
        <f t="shared" si="92"/>
        <v>-</v>
      </c>
      <c r="N75" s="514"/>
      <c r="O75" s="163"/>
      <c r="P75" s="163"/>
      <c r="Q75" s="164">
        <f t="shared" si="93"/>
        <v>0</v>
      </c>
      <c r="R75" s="165" t="str">
        <f t="shared" si="94"/>
        <v>-</v>
      </c>
      <c r="S75" s="514"/>
      <c r="T75" s="163"/>
      <c r="U75" s="163"/>
      <c r="V75" s="164">
        <f t="shared" si="96"/>
        <v>0</v>
      </c>
      <c r="W75" s="165" t="str">
        <f t="shared" si="97"/>
        <v>-</v>
      </c>
      <c r="X75" s="514"/>
    </row>
    <row r="76" spans="1:24" s="2" customFormat="1" ht="17.100000000000001" customHeight="1" x14ac:dyDescent="0.2">
      <c r="A76" s="325">
        <v>2232</v>
      </c>
      <c r="B76" s="187" t="s">
        <v>336</v>
      </c>
      <c r="C76" s="186">
        <v>7965</v>
      </c>
      <c r="D76" s="163">
        <v>6025</v>
      </c>
      <c r="E76" s="163">
        <v>3775</v>
      </c>
      <c r="F76" s="163">
        <v>3969</v>
      </c>
      <c r="G76" s="164">
        <f t="shared" si="85"/>
        <v>194</v>
      </c>
      <c r="H76" s="165">
        <f t="shared" si="86"/>
        <v>5.139072847682119E-2</v>
      </c>
      <c r="I76" s="523"/>
      <c r="J76" s="163">
        <v>4525</v>
      </c>
      <c r="K76" s="163"/>
      <c r="L76" s="164">
        <f t="shared" si="91"/>
        <v>-4525</v>
      </c>
      <c r="M76" s="165">
        <f t="shared" si="92"/>
        <v>-1</v>
      </c>
      <c r="N76" s="514"/>
      <c r="O76" s="163">
        <v>5275</v>
      </c>
      <c r="P76" s="163"/>
      <c r="Q76" s="164">
        <f t="shared" si="93"/>
        <v>-5275</v>
      </c>
      <c r="R76" s="165">
        <f t="shared" si="94"/>
        <v>-1</v>
      </c>
      <c r="S76" s="514"/>
      <c r="T76" s="163">
        <f>D76</f>
        <v>6025</v>
      </c>
      <c r="U76" s="163"/>
      <c r="V76" s="164">
        <f t="shared" si="96"/>
        <v>-6025</v>
      </c>
      <c r="W76" s="165">
        <f t="shared" si="97"/>
        <v>-1</v>
      </c>
      <c r="X76" s="514"/>
    </row>
    <row r="77" spans="1:24" s="2" customFormat="1" ht="17.100000000000001" customHeight="1" x14ac:dyDescent="0.2">
      <c r="A77" s="325">
        <v>2233</v>
      </c>
      <c r="B77" s="187" t="s">
        <v>31</v>
      </c>
      <c r="C77" s="186">
        <v>1037</v>
      </c>
      <c r="D77" s="163">
        <v>1800</v>
      </c>
      <c r="E77" s="163">
        <v>400</v>
      </c>
      <c r="F77" s="163">
        <v>504</v>
      </c>
      <c r="G77" s="164">
        <f t="shared" si="85"/>
        <v>104</v>
      </c>
      <c r="H77" s="165">
        <f t="shared" si="86"/>
        <v>0.26</v>
      </c>
      <c r="I77" s="523"/>
      <c r="J77" s="163">
        <v>800</v>
      </c>
      <c r="K77" s="163"/>
      <c r="L77" s="164">
        <f t="shared" si="91"/>
        <v>-800</v>
      </c>
      <c r="M77" s="165">
        <f t="shared" si="92"/>
        <v>-1</v>
      </c>
      <c r="N77" s="514"/>
      <c r="O77" s="163">
        <v>1600</v>
      </c>
      <c r="P77" s="163"/>
      <c r="Q77" s="164">
        <f t="shared" si="93"/>
        <v>-1600</v>
      </c>
      <c r="R77" s="165">
        <f t="shared" si="94"/>
        <v>-1</v>
      </c>
      <c r="S77" s="514"/>
      <c r="T77" s="163">
        <f t="shared" ref="T77:T81" si="102">D77</f>
        <v>1800</v>
      </c>
      <c r="U77" s="163"/>
      <c r="V77" s="164">
        <f t="shared" si="96"/>
        <v>-1800</v>
      </c>
      <c r="W77" s="165">
        <f t="shared" si="97"/>
        <v>-1</v>
      </c>
      <c r="X77" s="514"/>
    </row>
    <row r="78" spans="1:24" s="2" customFormat="1" ht="17.100000000000001" customHeight="1" x14ac:dyDescent="0.2">
      <c r="A78" s="325">
        <v>2234</v>
      </c>
      <c r="B78" s="187" t="s">
        <v>548</v>
      </c>
      <c r="C78" s="186">
        <v>9260</v>
      </c>
      <c r="D78" s="163">
        <v>7600</v>
      </c>
      <c r="E78" s="163">
        <v>3200</v>
      </c>
      <c r="F78" s="163">
        <v>3642</v>
      </c>
      <c r="G78" s="164">
        <f t="shared" si="85"/>
        <v>442</v>
      </c>
      <c r="H78" s="165">
        <f t="shared" si="86"/>
        <v>0.138125</v>
      </c>
      <c r="I78" s="523"/>
      <c r="J78" s="163">
        <v>4200</v>
      </c>
      <c r="K78" s="163"/>
      <c r="L78" s="164">
        <f t="shared" si="91"/>
        <v>-4200</v>
      </c>
      <c r="M78" s="165">
        <f t="shared" si="92"/>
        <v>-1</v>
      </c>
      <c r="N78" s="514"/>
      <c r="O78" s="163">
        <v>5200</v>
      </c>
      <c r="P78" s="163"/>
      <c r="Q78" s="164">
        <f t="shared" si="93"/>
        <v>-5200</v>
      </c>
      <c r="R78" s="165">
        <f t="shared" si="94"/>
        <v>-1</v>
      </c>
      <c r="S78" s="514"/>
      <c r="T78" s="163">
        <f t="shared" si="102"/>
        <v>7600</v>
      </c>
      <c r="U78" s="163"/>
      <c r="V78" s="164">
        <f t="shared" si="96"/>
        <v>-7600</v>
      </c>
      <c r="W78" s="165">
        <f t="shared" si="97"/>
        <v>-1</v>
      </c>
      <c r="X78" s="514"/>
    </row>
    <row r="79" spans="1:24" s="2" customFormat="1" ht="16.5" customHeight="1" x14ac:dyDescent="0.2">
      <c r="A79" s="325">
        <v>2235</v>
      </c>
      <c r="B79" s="187" t="s">
        <v>337</v>
      </c>
      <c r="C79" s="186">
        <v>8955</v>
      </c>
      <c r="D79" s="163">
        <v>21850</v>
      </c>
      <c r="E79" s="163">
        <v>2440</v>
      </c>
      <c r="F79" s="163">
        <v>3628</v>
      </c>
      <c r="G79" s="164">
        <f t="shared" si="85"/>
        <v>1188</v>
      </c>
      <c r="H79" s="165">
        <f t="shared" si="86"/>
        <v>0.48688524590163934</v>
      </c>
      <c r="I79" s="523"/>
      <c r="J79" s="163">
        <v>7300</v>
      </c>
      <c r="K79" s="163"/>
      <c r="L79" s="164">
        <f t="shared" si="91"/>
        <v>-7300</v>
      </c>
      <c r="M79" s="165">
        <f t="shared" si="92"/>
        <v>-1</v>
      </c>
      <c r="N79" s="514"/>
      <c r="O79" s="163">
        <v>16000</v>
      </c>
      <c r="P79" s="163"/>
      <c r="Q79" s="164">
        <f t="shared" si="93"/>
        <v>-16000</v>
      </c>
      <c r="R79" s="165">
        <f t="shared" si="94"/>
        <v>-1</v>
      </c>
      <c r="S79" s="514"/>
      <c r="T79" s="163">
        <f t="shared" si="102"/>
        <v>21850</v>
      </c>
      <c r="U79" s="163"/>
      <c r="V79" s="164">
        <f t="shared" si="96"/>
        <v>-21850</v>
      </c>
      <c r="W79" s="165">
        <f t="shared" si="97"/>
        <v>-1</v>
      </c>
      <c r="X79" s="514"/>
    </row>
    <row r="80" spans="1:24" s="2" customFormat="1" ht="17.100000000000001" customHeight="1" x14ac:dyDescent="0.2">
      <c r="A80" s="325">
        <v>2236</v>
      </c>
      <c r="B80" s="187" t="s">
        <v>338</v>
      </c>
      <c r="C80" s="186">
        <v>1161</v>
      </c>
      <c r="D80" s="163">
        <v>1160</v>
      </c>
      <c r="E80" s="163">
        <v>290</v>
      </c>
      <c r="F80" s="163">
        <v>351</v>
      </c>
      <c r="G80" s="164">
        <f t="shared" si="85"/>
        <v>61</v>
      </c>
      <c r="H80" s="165">
        <f t="shared" si="86"/>
        <v>0.2103448275862069</v>
      </c>
      <c r="I80" s="523"/>
      <c r="J80" s="163">
        <v>580</v>
      </c>
      <c r="K80" s="163"/>
      <c r="L80" s="164">
        <f t="shared" si="91"/>
        <v>-580</v>
      </c>
      <c r="M80" s="165">
        <f t="shared" si="92"/>
        <v>-1</v>
      </c>
      <c r="N80" s="514"/>
      <c r="O80" s="163">
        <v>870</v>
      </c>
      <c r="P80" s="163"/>
      <c r="Q80" s="164">
        <f t="shared" si="93"/>
        <v>-870</v>
      </c>
      <c r="R80" s="165">
        <f t="shared" si="94"/>
        <v>-1</v>
      </c>
      <c r="S80" s="514"/>
      <c r="T80" s="163">
        <f t="shared" si="102"/>
        <v>1160</v>
      </c>
      <c r="U80" s="163"/>
      <c r="V80" s="164">
        <f t="shared" si="96"/>
        <v>-1160</v>
      </c>
      <c r="W80" s="165">
        <f t="shared" si="97"/>
        <v>-1</v>
      </c>
      <c r="X80" s="514"/>
    </row>
    <row r="81" spans="1:24" s="2" customFormat="1" ht="17.100000000000001" customHeight="1" x14ac:dyDescent="0.2">
      <c r="A81" s="325">
        <v>2239</v>
      </c>
      <c r="B81" s="187" t="s">
        <v>339</v>
      </c>
      <c r="C81" s="186">
        <v>21817</v>
      </c>
      <c r="D81" s="163">
        <f>17000+1196</f>
        <v>18196</v>
      </c>
      <c r="E81" s="163">
        <v>4140</v>
      </c>
      <c r="F81" s="163">
        <v>4552</v>
      </c>
      <c r="G81" s="164">
        <f t="shared" si="85"/>
        <v>412</v>
      </c>
      <c r="H81" s="165">
        <f t="shared" si="86"/>
        <v>9.9516908212560387E-2</v>
      </c>
      <c r="I81" s="524"/>
      <c r="J81" s="163">
        <f>9655+1196</f>
        <v>10851</v>
      </c>
      <c r="K81" s="163"/>
      <c r="L81" s="164">
        <f t="shared" si="91"/>
        <v>-10851</v>
      </c>
      <c r="M81" s="165">
        <f t="shared" si="92"/>
        <v>-1</v>
      </c>
      <c r="N81" s="515"/>
      <c r="O81" s="163">
        <f>12920+1196</f>
        <v>14116</v>
      </c>
      <c r="P81" s="163"/>
      <c r="Q81" s="164">
        <f t="shared" si="93"/>
        <v>-14116</v>
      </c>
      <c r="R81" s="165">
        <f t="shared" si="94"/>
        <v>-1</v>
      </c>
      <c r="S81" s="515"/>
      <c r="T81" s="163">
        <f t="shared" si="102"/>
        <v>18196</v>
      </c>
      <c r="U81" s="163"/>
      <c r="V81" s="164">
        <f t="shared" si="96"/>
        <v>-18196</v>
      </c>
      <c r="W81" s="165">
        <f t="shared" si="97"/>
        <v>-1</v>
      </c>
      <c r="X81" s="515"/>
    </row>
    <row r="82" spans="1:24" s="332" customFormat="1" ht="17.100000000000001" customHeight="1" x14ac:dyDescent="0.2">
      <c r="A82" s="182">
        <v>2240</v>
      </c>
      <c r="B82" s="190" t="s">
        <v>130</v>
      </c>
      <c r="C82" s="319">
        <f t="shared" ref="C82:F82" si="103">SUM(C83:C88)</f>
        <v>227858</v>
      </c>
      <c r="D82" s="319">
        <f t="shared" si="103"/>
        <v>241285</v>
      </c>
      <c r="E82" s="319">
        <f t="shared" si="103"/>
        <v>79050</v>
      </c>
      <c r="F82" s="319">
        <f t="shared" si="103"/>
        <v>56294</v>
      </c>
      <c r="G82" s="171">
        <f t="shared" si="85"/>
        <v>-22756</v>
      </c>
      <c r="H82" s="172">
        <f t="shared" si="86"/>
        <v>-0.28786843769765968</v>
      </c>
      <c r="I82" s="522" t="s">
        <v>688</v>
      </c>
      <c r="J82" s="319">
        <f t="shared" ref="J82:K82" si="104">SUM(J83:J88)</f>
        <v>131735</v>
      </c>
      <c r="K82" s="319">
        <f t="shared" si="104"/>
        <v>0</v>
      </c>
      <c r="L82" s="171">
        <f t="shared" si="91"/>
        <v>-131735</v>
      </c>
      <c r="M82" s="172">
        <f t="shared" si="92"/>
        <v>-1</v>
      </c>
      <c r="N82" s="513"/>
      <c r="O82" s="319">
        <f t="shared" ref="O82:P82" si="105">SUM(O83:O88)</f>
        <v>198390</v>
      </c>
      <c r="P82" s="319">
        <f t="shared" si="105"/>
        <v>0</v>
      </c>
      <c r="Q82" s="171">
        <f t="shared" si="93"/>
        <v>-198390</v>
      </c>
      <c r="R82" s="172">
        <f t="shared" si="94"/>
        <v>-1</v>
      </c>
      <c r="S82" s="513"/>
      <c r="T82" s="319">
        <f t="shared" ref="T82:U82" si="106">SUM(T83:T88)</f>
        <v>241285</v>
      </c>
      <c r="U82" s="319">
        <f t="shared" si="106"/>
        <v>0</v>
      </c>
      <c r="V82" s="171">
        <f t="shared" si="96"/>
        <v>-241285</v>
      </c>
      <c r="W82" s="172">
        <f t="shared" si="97"/>
        <v>-1</v>
      </c>
      <c r="X82" s="513"/>
    </row>
    <row r="83" spans="1:24" s="2" customFormat="1" ht="17.100000000000001" customHeight="1" x14ac:dyDescent="0.2">
      <c r="A83" s="325">
        <v>2241</v>
      </c>
      <c r="B83" s="187" t="s">
        <v>340</v>
      </c>
      <c r="C83" s="186">
        <v>64394</v>
      </c>
      <c r="D83" s="163">
        <v>56000</v>
      </c>
      <c r="E83" s="163">
        <v>12000</v>
      </c>
      <c r="F83" s="163">
        <v>13537</v>
      </c>
      <c r="G83" s="164">
        <f t="shared" si="85"/>
        <v>1537</v>
      </c>
      <c r="H83" s="165">
        <f t="shared" si="86"/>
        <v>0.12808333333333333</v>
      </c>
      <c r="I83" s="523"/>
      <c r="J83" s="163">
        <v>27000</v>
      </c>
      <c r="K83" s="163"/>
      <c r="L83" s="164">
        <f t="shared" si="91"/>
        <v>-27000</v>
      </c>
      <c r="M83" s="165">
        <f t="shared" si="92"/>
        <v>-1</v>
      </c>
      <c r="N83" s="514"/>
      <c r="O83" s="163">
        <v>56000</v>
      </c>
      <c r="P83" s="163"/>
      <c r="Q83" s="164">
        <f t="shared" si="93"/>
        <v>-56000</v>
      </c>
      <c r="R83" s="165">
        <f t="shared" si="94"/>
        <v>-1</v>
      </c>
      <c r="S83" s="514"/>
      <c r="T83" s="163">
        <f>D83</f>
        <v>56000</v>
      </c>
      <c r="U83" s="163"/>
      <c r="V83" s="164">
        <f t="shared" si="96"/>
        <v>-56000</v>
      </c>
      <c r="W83" s="165">
        <f t="shared" si="97"/>
        <v>-1</v>
      </c>
      <c r="X83" s="514"/>
    </row>
    <row r="84" spans="1:24" s="2" customFormat="1" ht="17.100000000000001" customHeight="1" x14ac:dyDescent="0.2">
      <c r="A84" s="325">
        <v>2242</v>
      </c>
      <c r="B84" s="187" t="s">
        <v>32</v>
      </c>
      <c r="C84" s="186">
        <v>3251</v>
      </c>
      <c r="D84" s="163">
        <v>3200</v>
      </c>
      <c r="E84" s="163">
        <v>800</v>
      </c>
      <c r="F84" s="163">
        <v>617</v>
      </c>
      <c r="G84" s="164">
        <f t="shared" si="85"/>
        <v>-183</v>
      </c>
      <c r="H84" s="165">
        <f t="shared" si="86"/>
        <v>-0.22875000000000001</v>
      </c>
      <c r="I84" s="523"/>
      <c r="J84" s="163">
        <v>1600</v>
      </c>
      <c r="K84" s="163"/>
      <c r="L84" s="164">
        <f t="shared" si="91"/>
        <v>-1600</v>
      </c>
      <c r="M84" s="165">
        <f t="shared" si="92"/>
        <v>-1</v>
      </c>
      <c r="N84" s="514"/>
      <c r="O84" s="163">
        <v>2400</v>
      </c>
      <c r="P84" s="163"/>
      <c r="Q84" s="164">
        <f t="shared" si="93"/>
        <v>-2400</v>
      </c>
      <c r="R84" s="165">
        <f t="shared" si="94"/>
        <v>-1</v>
      </c>
      <c r="S84" s="514"/>
      <c r="T84" s="163">
        <f t="shared" ref="T84:T89" si="107">D84</f>
        <v>3200</v>
      </c>
      <c r="U84" s="163"/>
      <c r="V84" s="164">
        <f t="shared" si="96"/>
        <v>-3200</v>
      </c>
      <c r="W84" s="165">
        <f t="shared" si="97"/>
        <v>-1</v>
      </c>
      <c r="X84" s="514"/>
    </row>
    <row r="85" spans="1:24" s="2" customFormat="1" ht="17.100000000000001" customHeight="1" x14ac:dyDescent="0.2">
      <c r="A85" s="325">
        <v>2243</v>
      </c>
      <c r="B85" s="187" t="s">
        <v>33</v>
      </c>
      <c r="C85" s="186">
        <v>70925</v>
      </c>
      <c r="D85" s="163">
        <v>69085</v>
      </c>
      <c r="E85" s="163">
        <v>36085</v>
      </c>
      <c r="F85" s="163">
        <v>10453</v>
      </c>
      <c r="G85" s="164">
        <f t="shared" si="85"/>
        <v>-25632</v>
      </c>
      <c r="H85" s="165">
        <f t="shared" si="86"/>
        <v>-0.71032284882915342</v>
      </c>
      <c r="I85" s="523"/>
      <c r="J85" s="163">
        <v>47085</v>
      </c>
      <c r="K85" s="163"/>
      <c r="L85" s="164">
        <f t="shared" si="91"/>
        <v>-47085</v>
      </c>
      <c r="M85" s="165">
        <f t="shared" si="92"/>
        <v>-1</v>
      </c>
      <c r="N85" s="514"/>
      <c r="O85" s="163">
        <v>58085</v>
      </c>
      <c r="P85" s="163"/>
      <c r="Q85" s="164">
        <f t="shared" si="93"/>
        <v>-58085</v>
      </c>
      <c r="R85" s="165">
        <f t="shared" si="94"/>
        <v>-1</v>
      </c>
      <c r="S85" s="514"/>
      <c r="T85" s="163">
        <f t="shared" si="107"/>
        <v>69085</v>
      </c>
      <c r="U85" s="163"/>
      <c r="V85" s="164">
        <f t="shared" si="96"/>
        <v>-69085</v>
      </c>
      <c r="W85" s="165">
        <f t="shared" si="97"/>
        <v>-1</v>
      </c>
      <c r="X85" s="514"/>
    </row>
    <row r="86" spans="1:24" s="2" customFormat="1" ht="17.100000000000001" customHeight="1" x14ac:dyDescent="0.2">
      <c r="A86" s="325">
        <v>2244</v>
      </c>
      <c r="B86" s="187" t="s">
        <v>131</v>
      </c>
      <c r="C86" s="186">
        <v>12816</v>
      </c>
      <c r="D86" s="163">
        <v>14100</v>
      </c>
      <c r="E86" s="163">
        <v>3525</v>
      </c>
      <c r="F86" s="163">
        <v>3378</v>
      </c>
      <c r="G86" s="164">
        <f t="shared" si="85"/>
        <v>-147</v>
      </c>
      <c r="H86" s="165">
        <f t="shared" si="86"/>
        <v>-4.170212765957447E-2</v>
      </c>
      <c r="I86" s="523"/>
      <c r="J86" s="163">
        <v>7050</v>
      </c>
      <c r="K86" s="163"/>
      <c r="L86" s="164">
        <f t="shared" si="91"/>
        <v>-7050</v>
      </c>
      <c r="M86" s="165">
        <f t="shared" si="92"/>
        <v>-1</v>
      </c>
      <c r="N86" s="514"/>
      <c r="O86" s="163">
        <v>10575</v>
      </c>
      <c r="P86" s="163"/>
      <c r="Q86" s="164">
        <f t="shared" si="93"/>
        <v>-10575</v>
      </c>
      <c r="R86" s="165">
        <f t="shared" si="94"/>
        <v>-1</v>
      </c>
      <c r="S86" s="514"/>
      <c r="T86" s="163">
        <f t="shared" si="107"/>
        <v>14100</v>
      </c>
      <c r="U86" s="163"/>
      <c r="V86" s="164">
        <f t="shared" si="96"/>
        <v>-14100</v>
      </c>
      <c r="W86" s="165">
        <f t="shared" si="97"/>
        <v>-1</v>
      </c>
      <c r="X86" s="514"/>
    </row>
    <row r="87" spans="1:24" s="2" customFormat="1" ht="17.100000000000001" customHeight="1" x14ac:dyDescent="0.2">
      <c r="A87" s="325">
        <v>2247</v>
      </c>
      <c r="B87" s="187" t="s">
        <v>34</v>
      </c>
      <c r="C87" s="186">
        <v>11663</v>
      </c>
      <c r="D87" s="163">
        <v>12000</v>
      </c>
      <c r="E87" s="163">
        <v>3000</v>
      </c>
      <c r="F87" s="163">
        <v>2930</v>
      </c>
      <c r="G87" s="164">
        <f t="shared" si="85"/>
        <v>-70</v>
      </c>
      <c r="H87" s="165">
        <f t="shared" si="86"/>
        <v>-2.3333333333333334E-2</v>
      </c>
      <c r="I87" s="523"/>
      <c r="J87" s="163">
        <v>6000</v>
      </c>
      <c r="K87" s="163"/>
      <c r="L87" s="164">
        <f t="shared" si="91"/>
        <v>-6000</v>
      </c>
      <c r="M87" s="165">
        <f t="shared" si="92"/>
        <v>-1</v>
      </c>
      <c r="N87" s="514"/>
      <c r="O87" s="163">
        <v>9000</v>
      </c>
      <c r="P87" s="163"/>
      <c r="Q87" s="164">
        <f t="shared" si="93"/>
        <v>-9000</v>
      </c>
      <c r="R87" s="165">
        <f t="shared" si="94"/>
        <v>-1</v>
      </c>
      <c r="S87" s="514"/>
      <c r="T87" s="163">
        <f t="shared" si="107"/>
        <v>12000</v>
      </c>
      <c r="U87" s="163"/>
      <c r="V87" s="164">
        <f t="shared" si="96"/>
        <v>-12000</v>
      </c>
      <c r="W87" s="165">
        <f t="shared" si="97"/>
        <v>-1</v>
      </c>
      <c r="X87" s="514"/>
    </row>
    <row r="88" spans="1:24" s="2" customFormat="1" ht="17.100000000000001" customHeight="1" x14ac:dyDescent="0.2">
      <c r="A88" s="325">
        <v>2249</v>
      </c>
      <c r="B88" s="187" t="s">
        <v>35</v>
      </c>
      <c r="C88" s="186">
        <v>64809</v>
      </c>
      <c r="D88" s="163">
        <v>86900</v>
      </c>
      <c r="E88" s="163">
        <v>23640</v>
      </c>
      <c r="F88" s="163">
        <v>25379</v>
      </c>
      <c r="G88" s="164">
        <f t="shared" si="85"/>
        <v>1739</v>
      </c>
      <c r="H88" s="165">
        <f t="shared" si="86"/>
        <v>7.3561759729272425E-2</v>
      </c>
      <c r="I88" s="524"/>
      <c r="J88" s="163">
        <v>43000</v>
      </c>
      <c r="K88" s="163"/>
      <c r="L88" s="164">
        <f t="shared" si="91"/>
        <v>-43000</v>
      </c>
      <c r="M88" s="165">
        <f t="shared" si="92"/>
        <v>-1</v>
      </c>
      <c r="N88" s="515"/>
      <c r="O88" s="163">
        <f>61650+680</f>
        <v>62330</v>
      </c>
      <c r="P88" s="163"/>
      <c r="Q88" s="164">
        <f t="shared" si="93"/>
        <v>-62330</v>
      </c>
      <c r="R88" s="165">
        <f t="shared" si="94"/>
        <v>-1</v>
      </c>
      <c r="S88" s="515"/>
      <c r="T88" s="163">
        <f t="shared" si="107"/>
        <v>86900</v>
      </c>
      <c r="U88" s="163"/>
      <c r="V88" s="164">
        <f t="shared" si="96"/>
        <v>-86900</v>
      </c>
      <c r="W88" s="165">
        <f t="shared" si="97"/>
        <v>-1</v>
      </c>
      <c r="X88" s="515"/>
    </row>
    <row r="89" spans="1:24" s="326" customFormat="1" ht="17.100000000000001" customHeight="1" x14ac:dyDescent="0.2">
      <c r="A89" s="182">
        <v>2250</v>
      </c>
      <c r="B89" s="193" t="s">
        <v>36</v>
      </c>
      <c r="C89" s="191">
        <v>53018</v>
      </c>
      <c r="D89" s="191">
        <v>44400</v>
      </c>
      <c r="E89" s="191">
        <v>22825</v>
      </c>
      <c r="F89" s="191">
        <v>12606</v>
      </c>
      <c r="G89" s="333">
        <f t="shared" si="85"/>
        <v>-10219</v>
      </c>
      <c r="H89" s="334">
        <f t="shared" si="86"/>
        <v>-0.44771084337349398</v>
      </c>
      <c r="I89" s="484" t="s">
        <v>689</v>
      </c>
      <c r="J89" s="191">
        <v>22200</v>
      </c>
      <c r="K89" s="191"/>
      <c r="L89" s="333">
        <f t="shared" si="91"/>
        <v>-22200</v>
      </c>
      <c r="M89" s="334">
        <f t="shared" si="92"/>
        <v>-1</v>
      </c>
      <c r="N89" s="335"/>
      <c r="O89" s="191">
        <v>33300</v>
      </c>
      <c r="P89" s="191"/>
      <c r="Q89" s="333">
        <f t="shared" si="93"/>
        <v>-33300</v>
      </c>
      <c r="R89" s="334">
        <f t="shared" si="94"/>
        <v>-1</v>
      </c>
      <c r="S89" s="335"/>
      <c r="T89" s="163">
        <f t="shared" si="107"/>
        <v>44400</v>
      </c>
      <c r="U89" s="191"/>
      <c r="V89" s="333">
        <f t="shared" si="96"/>
        <v>-44400</v>
      </c>
      <c r="W89" s="334">
        <f t="shared" si="97"/>
        <v>-1</v>
      </c>
      <c r="X89" s="335"/>
    </row>
    <row r="90" spans="1:24" s="326" customFormat="1" ht="17.100000000000001" customHeight="1" x14ac:dyDescent="0.2">
      <c r="A90" s="182">
        <v>2260</v>
      </c>
      <c r="B90" s="193" t="s">
        <v>37</v>
      </c>
      <c r="C90" s="319">
        <f t="shared" ref="C90:F90" si="108">SUM(C91:C95)</f>
        <v>4258</v>
      </c>
      <c r="D90" s="319">
        <f t="shared" si="108"/>
        <v>3700</v>
      </c>
      <c r="E90" s="319">
        <f t="shared" si="108"/>
        <v>1550</v>
      </c>
      <c r="F90" s="319">
        <f t="shared" si="108"/>
        <v>817</v>
      </c>
      <c r="G90" s="333">
        <f t="shared" si="85"/>
        <v>-733</v>
      </c>
      <c r="H90" s="334">
        <f t="shared" si="86"/>
        <v>-0.47290322580645161</v>
      </c>
      <c r="I90" s="522" t="s">
        <v>690</v>
      </c>
      <c r="J90" s="319">
        <f t="shared" ref="J90:K90" si="109">SUM(J91:J95)</f>
        <v>1500</v>
      </c>
      <c r="K90" s="319">
        <f t="shared" si="109"/>
        <v>0</v>
      </c>
      <c r="L90" s="333">
        <f t="shared" si="91"/>
        <v>-1500</v>
      </c>
      <c r="M90" s="334">
        <f t="shared" si="92"/>
        <v>-1</v>
      </c>
      <c r="N90" s="513"/>
      <c r="O90" s="319">
        <f t="shared" ref="O90:P90" si="110">SUM(O91:O95)</f>
        <v>2200</v>
      </c>
      <c r="P90" s="319">
        <f t="shared" si="110"/>
        <v>0</v>
      </c>
      <c r="Q90" s="333">
        <f t="shared" si="93"/>
        <v>-2200</v>
      </c>
      <c r="R90" s="334">
        <f t="shared" si="94"/>
        <v>-1</v>
      </c>
      <c r="S90" s="513"/>
      <c r="T90" s="319">
        <f t="shared" ref="T90:U90" si="111">SUM(T91:T95)</f>
        <v>3700</v>
      </c>
      <c r="U90" s="319">
        <f t="shared" si="111"/>
        <v>0</v>
      </c>
      <c r="V90" s="333">
        <f t="shared" si="96"/>
        <v>-3700</v>
      </c>
      <c r="W90" s="334">
        <f t="shared" si="97"/>
        <v>-1</v>
      </c>
      <c r="X90" s="513"/>
    </row>
    <row r="91" spans="1:24" s="2" customFormat="1" ht="17.100000000000001" customHeight="1" x14ac:dyDescent="0.2">
      <c r="A91" s="325">
        <v>2261</v>
      </c>
      <c r="B91" s="69" t="s">
        <v>38</v>
      </c>
      <c r="C91" s="186"/>
      <c r="D91" s="163"/>
      <c r="E91" s="163"/>
      <c r="F91" s="163"/>
      <c r="G91" s="164">
        <f t="shared" si="85"/>
        <v>0</v>
      </c>
      <c r="H91" s="165" t="str">
        <f t="shared" si="86"/>
        <v>-</v>
      </c>
      <c r="I91" s="523"/>
      <c r="J91" s="163"/>
      <c r="K91" s="163"/>
      <c r="L91" s="164">
        <f t="shared" si="91"/>
        <v>0</v>
      </c>
      <c r="M91" s="165" t="str">
        <f t="shared" si="92"/>
        <v>-</v>
      </c>
      <c r="N91" s="514"/>
      <c r="O91" s="163"/>
      <c r="P91" s="163"/>
      <c r="Q91" s="164">
        <f t="shared" si="93"/>
        <v>0</v>
      </c>
      <c r="R91" s="165" t="str">
        <f t="shared" si="94"/>
        <v>-</v>
      </c>
      <c r="S91" s="514"/>
      <c r="T91" s="163"/>
      <c r="U91" s="163"/>
      <c r="V91" s="164">
        <f t="shared" si="96"/>
        <v>0</v>
      </c>
      <c r="W91" s="165" t="str">
        <f t="shared" si="97"/>
        <v>-</v>
      </c>
      <c r="X91" s="514"/>
    </row>
    <row r="92" spans="1:24" s="2" customFormat="1" ht="17.100000000000001" customHeight="1" x14ac:dyDescent="0.2">
      <c r="A92" s="325">
        <v>2262</v>
      </c>
      <c r="B92" s="69" t="s">
        <v>39</v>
      </c>
      <c r="C92" s="186"/>
      <c r="D92" s="163"/>
      <c r="E92" s="163"/>
      <c r="F92" s="163"/>
      <c r="G92" s="164">
        <f t="shared" si="85"/>
        <v>0</v>
      </c>
      <c r="H92" s="165" t="str">
        <f t="shared" si="86"/>
        <v>-</v>
      </c>
      <c r="I92" s="523"/>
      <c r="J92" s="163"/>
      <c r="K92" s="163"/>
      <c r="L92" s="164">
        <f t="shared" si="91"/>
        <v>0</v>
      </c>
      <c r="M92" s="165" t="str">
        <f t="shared" si="92"/>
        <v>-</v>
      </c>
      <c r="N92" s="514"/>
      <c r="O92" s="163"/>
      <c r="P92" s="163"/>
      <c r="Q92" s="164">
        <f t="shared" si="93"/>
        <v>0</v>
      </c>
      <c r="R92" s="165" t="str">
        <f t="shared" si="94"/>
        <v>-</v>
      </c>
      <c r="S92" s="514"/>
      <c r="T92" s="163"/>
      <c r="U92" s="163"/>
      <c r="V92" s="164">
        <f t="shared" si="96"/>
        <v>0</v>
      </c>
      <c r="W92" s="165" t="str">
        <f t="shared" si="97"/>
        <v>-</v>
      </c>
      <c r="X92" s="514"/>
    </row>
    <row r="93" spans="1:24" s="2" customFormat="1" ht="17.100000000000001" customHeight="1" x14ac:dyDescent="0.2">
      <c r="A93" s="325">
        <v>2263</v>
      </c>
      <c r="B93" s="69" t="s">
        <v>40</v>
      </c>
      <c r="C93" s="186"/>
      <c r="D93" s="163"/>
      <c r="E93" s="163"/>
      <c r="F93" s="163"/>
      <c r="G93" s="164">
        <f t="shared" si="85"/>
        <v>0</v>
      </c>
      <c r="H93" s="165" t="str">
        <f t="shared" si="86"/>
        <v>-</v>
      </c>
      <c r="I93" s="523"/>
      <c r="J93" s="163"/>
      <c r="K93" s="163"/>
      <c r="L93" s="164">
        <f t="shared" si="91"/>
        <v>0</v>
      </c>
      <c r="M93" s="165" t="str">
        <f t="shared" si="92"/>
        <v>-</v>
      </c>
      <c r="N93" s="514"/>
      <c r="O93" s="163"/>
      <c r="P93" s="163"/>
      <c r="Q93" s="164">
        <f t="shared" si="93"/>
        <v>0</v>
      </c>
      <c r="R93" s="165" t="str">
        <f t="shared" si="94"/>
        <v>-</v>
      </c>
      <c r="S93" s="514"/>
      <c r="T93" s="163"/>
      <c r="U93" s="163"/>
      <c r="V93" s="164">
        <f t="shared" si="96"/>
        <v>0</v>
      </c>
      <c r="W93" s="165" t="str">
        <f t="shared" si="97"/>
        <v>-</v>
      </c>
      <c r="X93" s="514"/>
    </row>
    <row r="94" spans="1:24" s="2" customFormat="1" ht="17.100000000000001" customHeight="1" x14ac:dyDescent="0.2">
      <c r="A94" s="325">
        <v>2264</v>
      </c>
      <c r="B94" s="69" t="s">
        <v>132</v>
      </c>
      <c r="C94" s="186">
        <v>4258</v>
      </c>
      <c r="D94" s="163">
        <v>3700</v>
      </c>
      <c r="E94" s="163">
        <v>1550</v>
      </c>
      <c r="F94" s="163">
        <v>817</v>
      </c>
      <c r="G94" s="164">
        <f t="shared" si="85"/>
        <v>-733</v>
      </c>
      <c r="H94" s="165">
        <f t="shared" si="86"/>
        <v>-0.47290322580645161</v>
      </c>
      <c r="I94" s="523"/>
      <c r="J94" s="163">
        <v>1500</v>
      </c>
      <c r="K94" s="163"/>
      <c r="L94" s="164">
        <f t="shared" si="91"/>
        <v>-1500</v>
      </c>
      <c r="M94" s="165">
        <f t="shared" si="92"/>
        <v>-1</v>
      </c>
      <c r="N94" s="514"/>
      <c r="O94" s="163">
        <v>2200</v>
      </c>
      <c r="P94" s="163"/>
      <c r="Q94" s="164">
        <f t="shared" si="93"/>
        <v>-2200</v>
      </c>
      <c r="R94" s="165">
        <f t="shared" si="94"/>
        <v>-1</v>
      </c>
      <c r="S94" s="514"/>
      <c r="T94" s="163">
        <f t="shared" ref="T94" si="112">D94</f>
        <v>3700</v>
      </c>
      <c r="U94" s="163"/>
      <c r="V94" s="164">
        <f t="shared" si="96"/>
        <v>-3700</v>
      </c>
      <c r="W94" s="165">
        <f t="shared" si="97"/>
        <v>-1</v>
      </c>
      <c r="X94" s="514"/>
    </row>
    <row r="95" spans="1:24" s="2" customFormat="1" ht="17.100000000000001" customHeight="1" x14ac:dyDescent="0.2">
      <c r="A95" s="325">
        <v>2269</v>
      </c>
      <c r="B95" s="69" t="s">
        <v>41</v>
      </c>
      <c r="C95" s="186"/>
      <c r="D95" s="163"/>
      <c r="E95" s="163"/>
      <c r="F95" s="163"/>
      <c r="G95" s="164">
        <f t="shared" si="85"/>
        <v>0</v>
      </c>
      <c r="H95" s="165" t="str">
        <f t="shared" si="86"/>
        <v>-</v>
      </c>
      <c r="I95" s="524"/>
      <c r="J95" s="163"/>
      <c r="K95" s="163"/>
      <c r="L95" s="164">
        <f t="shared" si="91"/>
        <v>0</v>
      </c>
      <c r="M95" s="165" t="str">
        <f t="shared" si="92"/>
        <v>-</v>
      </c>
      <c r="N95" s="515"/>
      <c r="O95" s="163"/>
      <c r="P95" s="163"/>
      <c r="Q95" s="164">
        <f t="shared" si="93"/>
        <v>0</v>
      </c>
      <c r="R95" s="165" t="str">
        <f t="shared" si="94"/>
        <v>-</v>
      </c>
      <c r="S95" s="515"/>
      <c r="T95" s="163"/>
      <c r="U95" s="163"/>
      <c r="V95" s="164">
        <f t="shared" si="96"/>
        <v>0</v>
      </c>
      <c r="W95" s="165" t="str">
        <f t="shared" si="97"/>
        <v>-</v>
      </c>
      <c r="X95" s="515"/>
    </row>
    <row r="96" spans="1:24" s="326" customFormat="1" ht="17.100000000000001" hidden="1" customHeight="1" x14ac:dyDescent="0.2">
      <c r="A96" s="182">
        <v>2270</v>
      </c>
      <c r="B96" s="193" t="s">
        <v>341</v>
      </c>
      <c r="C96" s="319">
        <f>SUM(C97:C101)</f>
        <v>0</v>
      </c>
      <c r="D96" s="319">
        <f>SUM(D97:D101)</f>
        <v>0</v>
      </c>
      <c r="E96" s="319">
        <f>SUM(E97:E101)</f>
        <v>0</v>
      </c>
      <c r="F96" s="319">
        <f>SUM(F97:F101)</f>
        <v>0</v>
      </c>
      <c r="G96" s="333">
        <f t="shared" si="85"/>
        <v>0</v>
      </c>
      <c r="H96" s="334" t="str">
        <f t="shared" si="86"/>
        <v>-</v>
      </c>
      <c r="I96" s="522"/>
      <c r="J96" s="329">
        <f>SUM(J97:J101)</f>
        <v>0</v>
      </c>
      <c r="K96" s="329">
        <f>SUM(K97:K101)</f>
        <v>0</v>
      </c>
      <c r="L96" s="333">
        <f>K96-J96</f>
        <v>0</v>
      </c>
      <c r="M96" s="334" t="str">
        <f>IFERROR(L96/ABS(J96), "-")</f>
        <v>-</v>
      </c>
      <c r="N96" s="513"/>
      <c r="O96" s="329">
        <f>SUM(O97:O101)</f>
        <v>0</v>
      </c>
      <c r="P96" s="329">
        <f>SUM(P97:P101)</f>
        <v>0</v>
      </c>
      <c r="Q96" s="333">
        <f>P96-O96</f>
        <v>0</v>
      </c>
      <c r="R96" s="334" t="str">
        <f>IFERROR(Q96/ABS(O96), "-")</f>
        <v>-</v>
      </c>
      <c r="S96" s="513"/>
      <c r="T96" s="329">
        <f>SUM(T97:T101)</f>
        <v>0</v>
      </c>
      <c r="U96" s="319">
        <f t="shared" ref="U96" si="113">SUM(U98:U101)</f>
        <v>0</v>
      </c>
      <c r="V96" s="333">
        <f t="shared" si="96"/>
        <v>0</v>
      </c>
      <c r="W96" s="334" t="str">
        <f t="shared" si="97"/>
        <v>-</v>
      </c>
      <c r="X96" s="513"/>
    </row>
    <row r="97" spans="1:24" s="2" customFormat="1" ht="17.100000000000001" hidden="1" customHeight="1" x14ac:dyDescent="0.2">
      <c r="A97" s="325">
        <v>2272</v>
      </c>
      <c r="B97" s="187" t="s">
        <v>549</v>
      </c>
      <c r="C97" s="319"/>
      <c r="D97" s="319"/>
      <c r="E97" s="319"/>
      <c r="F97" s="319"/>
      <c r="G97" s="164">
        <f t="shared" si="85"/>
        <v>0</v>
      </c>
      <c r="H97" s="165" t="str">
        <f t="shared" si="86"/>
        <v>-</v>
      </c>
      <c r="I97" s="523"/>
      <c r="J97" s="163"/>
      <c r="K97" s="163"/>
      <c r="L97" s="164">
        <f t="shared" ref="L97" si="114">K97-J97</f>
        <v>0</v>
      </c>
      <c r="M97" s="165" t="str">
        <f t="shared" ref="M97" si="115">IFERROR(L97/ABS(J97), "-")</f>
        <v>-</v>
      </c>
      <c r="N97" s="514"/>
      <c r="O97" s="163"/>
      <c r="P97" s="163"/>
      <c r="Q97" s="164">
        <f t="shared" ref="Q97" si="116">P97-O97</f>
        <v>0</v>
      </c>
      <c r="R97" s="165" t="str">
        <f t="shared" ref="R97" si="117">IFERROR(Q97/ABS(O97), "-")</f>
        <v>-</v>
      </c>
      <c r="S97" s="514"/>
      <c r="T97" s="163"/>
      <c r="U97" s="319"/>
      <c r="V97" s="164">
        <f t="shared" si="96"/>
        <v>0</v>
      </c>
      <c r="W97" s="165" t="str">
        <f t="shared" si="97"/>
        <v>-</v>
      </c>
      <c r="X97" s="514"/>
    </row>
    <row r="98" spans="1:24" s="2" customFormat="1" ht="17.100000000000001" hidden="1" customHeight="1" x14ac:dyDescent="0.2">
      <c r="A98" s="325">
        <v>2272</v>
      </c>
      <c r="B98" s="187" t="s">
        <v>42</v>
      </c>
      <c r="C98" s="186"/>
      <c r="D98" s="163"/>
      <c r="E98" s="163"/>
      <c r="F98" s="163"/>
      <c r="G98" s="164">
        <f t="shared" si="85"/>
        <v>0</v>
      </c>
      <c r="H98" s="165" t="str">
        <f t="shared" si="86"/>
        <v>-</v>
      </c>
      <c r="I98" s="523"/>
      <c r="J98" s="163"/>
      <c r="K98" s="163"/>
      <c r="L98" s="164">
        <f t="shared" si="91"/>
        <v>0</v>
      </c>
      <c r="M98" s="165" t="str">
        <f t="shared" si="92"/>
        <v>-</v>
      </c>
      <c r="N98" s="514"/>
      <c r="O98" s="163"/>
      <c r="P98" s="163"/>
      <c r="Q98" s="164">
        <f t="shared" si="93"/>
        <v>0</v>
      </c>
      <c r="R98" s="165" t="str">
        <f t="shared" si="94"/>
        <v>-</v>
      </c>
      <c r="S98" s="514"/>
      <c r="T98" s="163"/>
      <c r="U98" s="163"/>
      <c r="V98" s="164">
        <f t="shared" si="96"/>
        <v>0</v>
      </c>
      <c r="W98" s="165" t="str">
        <f t="shared" si="97"/>
        <v>-</v>
      </c>
      <c r="X98" s="514"/>
    </row>
    <row r="99" spans="1:24" s="2" customFormat="1" ht="17.100000000000001" hidden="1" customHeight="1" x14ac:dyDescent="0.2">
      <c r="A99" s="325">
        <v>2273</v>
      </c>
      <c r="B99" s="187" t="s">
        <v>43</v>
      </c>
      <c r="C99" s="186"/>
      <c r="D99" s="163"/>
      <c r="E99" s="163"/>
      <c r="F99" s="163"/>
      <c r="G99" s="164">
        <f t="shared" si="85"/>
        <v>0</v>
      </c>
      <c r="H99" s="165" t="str">
        <f t="shared" si="86"/>
        <v>-</v>
      </c>
      <c r="I99" s="523"/>
      <c r="J99" s="163"/>
      <c r="K99" s="163"/>
      <c r="L99" s="164">
        <f t="shared" si="91"/>
        <v>0</v>
      </c>
      <c r="M99" s="165" t="str">
        <f t="shared" si="92"/>
        <v>-</v>
      </c>
      <c r="N99" s="514"/>
      <c r="O99" s="163"/>
      <c r="P99" s="163"/>
      <c r="Q99" s="164">
        <f t="shared" si="93"/>
        <v>0</v>
      </c>
      <c r="R99" s="165" t="str">
        <f t="shared" si="94"/>
        <v>-</v>
      </c>
      <c r="S99" s="514"/>
      <c r="T99" s="163"/>
      <c r="U99" s="163"/>
      <c r="V99" s="164">
        <f t="shared" si="96"/>
        <v>0</v>
      </c>
      <c r="W99" s="165" t="str">
        <f t="shared" si="97"/>
        <v>-</v>
      </c>
      <c r="X99" s="514"/>
    </row>
    <row r="100" spans="1:24" s="2" customFormat="1" ht="17.100000000000001" hidden="1" customHeight="1" x14ac:dyDescent="0.2">
      <c r="A100" s="325">
        <v>2274</v>
      </c>
      <c r="B100" s="187" t="s">
        <v>342</v>
      </c>
      <c r="C100" s="186"/>
      <c r="D100" s="163"/>
      <c r="E100" s="163"/>
      <c r="F100" s="163"/>
      <c r="G100" s="164">
        <f t="shared" si="85"/>
        <v>0</v>
      </c>
      <c r="H100" s="165" t="str">
        <f t="shared" si="86"/>
        <v>-</v>
      </c>
      <c r="I100" s="523"/>
      <c r="J100" s="163"/>
      <c r="K100" s="163"/>
      <c r="L100" s="164">
        <f t="shared" si="91"/>
        <v>0</v>
      </c>
      <c r="M100" s="165" t="str">
        <f t="shared" si="92"/>
        <v>-</v>
      </c>
      <c r="N100" s="514"/>
      <c r="O100" s="163"/>
      <c r="P100" s="163"/>
      <c r="Q100" s="164">
        <f t="shared" si="93"/>
        <v>0</v>
      </c>
      <c r="R100" s="165" t="str">
        <f t="shared" si="94"/>
        <v>-</v>
      </c>
      <c r="S100" s="514"/>
      <c r="T100" s="163"/>
      <c r="U100" s="163"/>
      <c r="V100" s="164">
        <f t="shared" si="96"/>
        <v>0</v>
      </c>
      <c r="W100" s="165" t="str">
        <f t="shared" si="97"/>
        <v>-</v>
      </c>
      <c r="X100" s="514"/>
    </row>
    <row r="101" spans="1:24" s="2" customFormat="1" ht="17.100000000000001" hidden="1" customHeight="1" x14ac:dyDescent="0.2">
      <c r="A101" s="325">
        <v>2276</v>
      </c>
      <c r="B101" s="187" t="s">
        <v>133</v>
      </c>
      <c r="C101" s="186"/>
      <c r="D101" s="163"/>
      <c r="E101" s="163"/>
      <c r="F101" s="163"/>
      <c r="G101" s="164">
        <f t="shared" si="85"/>
        <v>0</v>
      </c>
      <c r="H101" s="165" t="str">
        <f t="shared" si="86"/>
        <v>-</v>
      </c>
      <c r="I101" s="524"/>
      <c r="J101" s="163"/>
      <c r="K101" s="163"/>
      <c r="L101" s="164">
        <f t="shared" si="91"/>
        <v>0</v>
      </c>
      <c r="M101" s="165" t="str">
        <f t="shared" si="92"/>
        <v>-</v>
      </c>
      <c r="N101" s="515"/>
      <c r="O101" s="163"/>
      <c r="P101" s="163"/>
      <c r="Q101" s="164">
        <f t="shared" si="93"/>
        <v>0</v>
      </c>
      <c r="R101" s="165" t="str">
        <f t="shared" si="94"/>
        <v>-</v>
      </c>
      <c r="S101" s="515"/>
      <c r="T101" s="163"/>
      <c r="U101" s="163"/>
      <c r="V101" s="164">
        <f t="shared" si="96"/>
        <v>0</v>
      </c>
      <c r="W101" s="165" t="str">
        <f t="shared" si="97"/>
        <v>-</v>
      </c>
      <c r="X101" s="515"/>
    </row>
    <row r="102" spans="1:24" s="326" customFormat="1" ht="18" hidden="1" customHeight="1" x14ac:dyDescent="0.2">
      <c r="A102" s="182">
        <v>2280</v>
      </c>
      <c r="B102" s="190" t="s">
        <v>550</v>
      </c>
      <c r="C102" s="191"/>
      <c r="D102" s="191"/>
      <c r="E102" s="191"/>
      <c r="F102" s="191"/>
      <c r="G102" s="333">
        <f t="shared" si="85"/>
        <v>0</v>
      </c>
      <c r="H102" s="334" t="str">
        <f t="shared" si="86"/>
        <v>-</v>
      </c>
      <c r="I102" s="502"/>
      <c r="J102" s="191"/>
      <c r="K102" s="191"/>
      <c r="L102" s="333">
        <f t="shared" si="91"/>
        <v>0</v>
      </c>
      <c r="M102" s="334" t="str">
        <f t="shared" si="92"/>
        <v>-</v>
      </c>
      <c r="N102" s="335"/>
      <c r="O102" s="191"/>
      <c r="P102" s="191"/>
      <c r="Q102" s="333">
        <f t="shared" si="93"/>
        <v>0</v>
      </c>
      <c r="R102" s="334" t="str">
        <f t="shared" si="94"/>
        <v>-</v>
      </c>
      <c r="S102" s="335"/>
      <c r="T102" s="191"/>
      <c r="U102" s="191"/>
      <c r="V102" s="333">
        <f t="shared" si="96"/>
        <v>0</v>
      </c>
      <c r="W102" s="334" t="str">
        <f t="shared" si="97"/>
        <v>-</v>
      </c>
      <c r="X102" s="335"/>
    </row>
    <row r="103" spans="1:24" s="4" customFormat="1" ht="17.100000000000001" customHeight="1" x14ac:dyDescent="0.2">
      <c r="A103" s="147">
        <v>2300</v>
      </c>
      <c r="B103" s="208" t="s">
        <v>44</v>
      </c>
      <c r="C103" s="207">
        <f>C104+C109+C113+C114+C118+C119+C126+C127+C128</f>
        <v>916623</v>
      </c>
      <c r="D103" s="202">
        <f>D104+D109+D113+D114+D118+D119+D126+D127+D128</f>
        <v>823471</v>
      </c>
      <c r="E103" s="202">
        <f>E104+E109+E113+E114+E118+E119+E126+E127+E128</f>
        <v>198114</v>
      </c>
      <c r="F103" s="202">
        <f>F104+F109+F113+F114+F118+F119+F126+F127+F128</f>
        <v>192199</v>
      </c>
      <c r="G103" s="203">
        <f t="shared" si="85"/>
        <v>-5915</v>
      </c>
      <c r="H103" s="204">
        <f t="shared" si="86"/>
        <v>-2.9856547240477704E-2</v>
      </c>
      <c r="I103" s="497"/>
      <c r="J103" s="202">
        <f>J104+J109+J113+J114+J118+J119+J126+J127+J128</f>
        <v>405442</v>
      </c>
      <c r="K103" s="202">
        <f>K104+K109+K113+K114+K118+K119+K126+K127+K128</f>
        <v>0</v>
      </c>
      <c r="L103" s="203">
        <f t="shared" si="91"/>
        <v>-405442</v>
      </c>
      <c r="M103" s="204">
        <f t="shared" si="92"/>
        <v>-1</v>
      </c>
      <c r="N103" s="214"/>
      <c r="O103" s="202">
        <f>O104+O109+O113+O114+O118+O119+O126+O127+O128</f>
        <v>620173</v>
      </c>
      <c r="P103" s="202">
        <f>P104+P109+P113+P114+P118+P119+P126+P127+P128</f>
        <v>0</v>
      </c>
      <c r="Q103" s="203">
        <f t="shared" si="93"/>
        <v>-620173</v>
      </c>
      <c r="R103" s="204">
        <f t="shared" si="94"/>
        <v>-1</v>
      </c>
      <c r="S103" s="214"/>
      <c r="T103" s="202">
        <f>T104+T109+T113+T114+T118+T119+T126+T127+T128</f>
        <v>823471</v>
      </c>
      <c r="U103" s="202">
        <f>U104+U109+U113+U114+U118+U119+U126+U127+U128</f>
        <v>0</v>
      </c>
      <c r="V103" s="203">
        <f t="shared" si="96"/>
        <v>-823471</v>
      </c>
      <c r="W103" s="204">
        <f t="shared" si="97"/>
        <v>-1</v>
      </c>
      <c r="X103" s="214"/>
    </row>
    <row r="104" spans="1:24" s="326" customFormat="1" ht="17.100000000000001" customHeight="1" x14ac:dyDescent="0.2">
      <c r="A104" s="182">
        <v>2310</v>
      </c>
      <c r="B104" s="190" t="s">
        <v>343</v>
      </c>
      <c r="C104" s="319">
        <f t="shared" ref="C104:F104" si="118">SUM(C105:C108)</f>
        <v>80264</v>
      </c>
      <c r="D104" s="319">
        <f t="shared" si="118"/>
        <v>61987</v>
      </c>
      <c r="E104" s="319">
        <f t="shared" si="118"/>
        <v>12374</v>
      </c>
      <c r="F104" s="319">
        <f t="shared" si="118"/>
        <v>10237</v>
      </c>
      <c r="G104" s="333">
        <f t="shared" si="85"/>
        <v>-2137</v>
      </c>
      <c r="H104" s="334">
        <f t="shared" si="86"/>
        <v>-0.17270082430903508</v>
      </c>
      <c r="I104" s="522" t="s">
        <v>691</v>
      </c>
      <c r="J104" s="319">
        <f t="shared" ref="J104:K104" si="119">SUM(J105:J108)</f>
        <v>32241</v>
      </c>
      <c r="K104" s="319">
        <f t="shared" si="119"/>
        <v>0</v>
      </c>
      <c r="L104" s="333">
        <f t="shared" si="91"/>
        <v>-32241</v>
      </c>
      <c r="M104" s="334">
        <f t="shared" si="92"/>
        <v>-1</v>
      </c>
      <c r="N104" s="513"/>
      <c r="O104" s="319">
        <f t="shared" ref="O104:P104" si="120">SUM(O105:O108)</f>
        <v>58998</v>
      </c>
      <c r="P104" s="319">
        <f t="shared" si="120"/>
        <v>0</v>
      </c>
      <c r="Q104" s="333">
        <f t="shared" si="93"/>
        <v>-58998</v>
      </c>
      <c r="R104" s="334">
        <f t="shared" si="94"/>
        <v>-1</v>
      </c>
      <c r="S104" s="513"/>
      <c r="T104" s="319">
        <f t="shared" ref="T104:U104" si="121">SUM(T105:T108)</f>
        <v>61987</v>
      </c>
      <c r="U104" s="319">
        <f t="shared" si="121"/>
        <v>0</v>
      </c>
      <c r="V104" s="333">
        <f t="shared" si="96"/>
        <v>-61987</v>
      </c>
      <c r="W104" s="334">
        <f t="shared" si="97"/>
        <v>-1</v>
      </c>
      <c r="X104" s="513"/>
    </row>
    <row r="105" spans="1:24" s="2" customFormat="1" ht="17.100000000000001" customHeight="1" x14ac:dyDescent="0.2">
      <c r="A105" s="325">
        <v>2311</v>
      </c>
      <c r="B105" s="69" t="s">
        <v>45</v>
      </c>
      <c r="C105" s="186">
        <v>21416</v>
      </c>
      <c r="D105" s="163">
        <v>21600</v>
      </c>
      <c r="E105" s="163">
        <v>5400</v>
      </c>
      <c r="F105" s="163">
        <v>4823</v>
      </c>
      <c r="G105" s="164">
        <f t="shared" si="85"/>
        <v>-577</v>
      </c>
      <c r="H105" s="165">
        <f t="shared" si="86"/>
        <v>-0.10685185185185185</v>
      </c>
      <c r="I105" s="523"/>
      <c r="J105" s="163">
        <v>10800</v>
      </c>
      <c r="K105" s="163"/>
      <c r="L105" s="164">
        <f t="shared" si="91"/>
        <v>-10800</v>
      </c>
      <c r="M105" s="165">
        <f t="shared" si="92"/>
        <v>-1</v>
      </c>
      <c r="N105" s="514"/>
      <c r="O105" s="163">
        <v>16200</v>
      </c>
      <c r="P105" s="163"/>
      <c r="Q105" s="164">
        <f t="shared" si="93"/>
        <v>-16200</v>
      </c>
      <c r="R105" s="165">
        <f t="shared" si="94"/>
        <v>-1</v>
      </c>
      <c r="S105" s="514"/>
      <c r="T105" s="163">
        <f>D105</f>
        <v>21600</v>
      </c>
      <c r="U105" s="163"/>
      <c r="V105" s="164">
        <f t="shared" si="96"/>
        <v>-21600</v>
      </c>
      <c r="W105" s="165">
        <f t="shared" si="97"/>
        <v>-1</v>
      </c>
      <c r="X105" s="514"/>
    </row>
    <row r="106" spans="1:24" s="2" customFormat="1" ht="17.100000000000001" customHeight="1" x14ac:dyDescent="0.2">
      <c r="A106" s="325">
        <v>2312</v>
      </c>
      <c r="B106" s="69" t="s">
        <v>46</v>
      </c>
      <c r="C106" s="186">
        <v>58278</v>
      </c>
      <c r="D106" s="163">
        <f>42736-3099</f>
        <v>39637</v>
      </c>
      <c r="E106" s="163">
        <v>6924</v>
      </c>
      <c r="F106" s="163">
        <v>5188</v>
      </c>
      <c r="G106" s="164">
        <f t="shared" si="85"/>
        <v>-1736</v>
      </c>
      <c r="H106" s="165">
        <f t="shared" si="86"/>
        <v>-0.2507221259387637</v>
      </c>
      <c r="I106" s="523"/>
      <c r="J106" s="163">
        <v>21026</v>
      </c>
      <c r="K106" s="163"/>
      <c r="L106" s="164">
        <f t="shared" si="91"/>
        <v>-21026</v>
      </c>
      <c r="M106" s="165">
        <f t="shared" si="92"/>
        <v>-1</v>
      </c>
      <c r="N106" s="514"/>
      <c r="O106" s="163">
        <v>42198</v>
      </c>
      <c r="P106" s="163"/>
      <c r="Q106" s="164">
        <f t="shared" si="93"/>
        <v>-42198</v>
      </c>
      <c r="R106" s="165">
        <f t="shared" si="94"/>
        <v>-1</v>
      </c>
      <c r="S106" s="514"/>
      <c r="T106" s="163">
        <f t="shared" ref="T106:T108" si="122">D106</f>
        <v>39637</v>
      </c>
      <c r="U106" s="163"/>
      <c r="V106" s="164">
        <f t="shared" si="96"/>
        <v>-39637</v>
      </c>
      <c r="W106" s="165">
        <f t="shared" si="97"/>
        <v>-1</v>
      </c>
      <c r="X106" s="514"/>
    </row>
    <row r="107" spans="1:24" s="4" customFormat="1" ht="17.100000000000001" customHeight="1" x14ac:dyDescent="0.2">
      <c r="A107" s="325">
        <v>2313</v>
      </c>
      <c r="B107" s="69" t="s">
        <v>344</v>
      </c>
      <c r="C107" s="186"/>
      <c r="D107" s="163"/>
      <c r="E107" s="163"/>
      <c r="F107" s="163"/>
      <c r="G107" s="164">
        <f t="shared" si="85"/>
        <v>0</v>
      </c>
      <c r="H107" s="165" t="str">
        <f t="shared" si="86"/>
        <v>-</v>
      </c>
      <c r="I107" s="523"/>
      <c r="J107" s="163"/>
      <c r="K107" s="163"/>
      <c r="L107" s="164">
        <f t="shared" si="91"/>
        <v>0</v>
      </c>
      <c r="M107" s="165" t="str">
        <f t="shared" si="92"/>
        <v>-</v>
      </c>
      <c r="N107" s="514"/>
      <c r="O107" s="163"/>
      <c r="P107" s="163"/>
      <c r="Q107" s="164">
        <f t="shared" si="93"/>
        <v>0</v>
      </c>
      <c r="R107" s="165" t="str">
        <f t="shared" si="94"/>
        <v>-</v>
      </c>
      <c r="S107" s="514"/>
      <c r="T107" s="163">
        <f t="shared" si="122"/>
        <v>0</v>
      </c>
      <c r="U107" s="163"/>
      <c r="V107" s="164">
        <f t="shared" si="96"/>
        <v>0</v>
      </c>
      <c r="W107" s="165" t="str">
        <f t="shared" si="97"/>
        <v>-</v>
      </c>
      <c r="X107" s="514"/>
    </row>
    <row r="108" spans="1:24" s="2" customFormat="1" ht="17.100000000000001" customHeight="1" x14ac:dyDescent="0.2">
      <c r="A108" s="325">
        <v>2314</v>
      </c>
      <c r="B108" s="187" t="s">
        <v>345</v>
      </c>
      <c r="C108" s="186">
        <v>570</v>
      </c>
      <c r="D108" s="163">
        <v>750</v>
      </c>
      <c r="E108" s="163">
        <v>50</v>
      </c>
      <c r="F108" s="163">
        <v>226</v>
      </c>
      <c r="G108" s="164">
        <f t="shared" si="85"/>
        <v>176</v>
      </c>
      <c r="H108" s="165">
        <f t="shared" si="86"/>
        <v>3.52</v>
      </c>
      <c r="I108" s="524"/>
      <c r="J108" s="163">
        <v>415</v>
      </c>
      <c r="K108" s="163"/>
      <c r="L108" s="164">
        <f t="shared" si="91"/>
        <v>-415</v>
      </c>
      <c r="M108" s="165">
        <f t="shared" si="92"/>
        <v>-1</v>
      </c>
      <c r="N108" s="515"/>
      <c r="O108" s="163">
        <v>600</v>
      </c>
      <c r="P108" s="163"/>
      <c r="Q108" s="164">
        <f t="shared" si="93"/>
        <v>-600</v>
      </c>
      <c r="R108" s="165">
        <f t="shared" si="94"/>
        <v>-1</v>
      </c>
      <c r="S108" s="515"/>
      <c r="T108" s="163">
        <f t="shared" si="122"/>
        <v>750</v>
      </c>
      <c r="U108" s="163"/>
      <c r="V108" s="164">
        <f t="shared" si="96"/>
        <v>-750</v>
      </c>
      <c r="W108" s="165">
        <f t="shared" si="97"/>
        <v>-1</v>
      </c>
      <c r="X108" s="515"/>
    </row>
    <row r="109" spans="1:24" s="326" customFormat="1" ht="17.100000000000001" customHeight="1" x14ac:dyDescent="0.2">
      <c r="A109" s="182">
        <v>2320</v>
      </c>
      <c r="B109" s="190" t="s">
        <v>47</v>
      </c>
      <c r="C109" s="319">
        <f t="shared" ref="C109:F109" si="123">SUM(C110:C112)</f>
        <v>111646</v>
      </c>
      <c r="D109" s="319">
        <f t="shared" si="123"/>
        <v>5500</v>
      </c>
      <c r="E109" s="319">
        <f t="shared" si="123"/>
        <v>2600</v>
      </c>
      <c r="F109" s="319">
        <f t="shared" si="123"/>
        <v>1332</v>
      </c>
      <c r="G109" s="333">
        <f t="shared" si="85"/>
        <v>-1268</v>
      </c>
      <c r="H109" s="334">
        <f t="shared" si="86"/>
        <v>-0.4876923076923077</v>
      </c>
      <c r="I109" s="522" t="s">
        <v>692</v>
      </c>
      <c r="J109" s="319">
        <f t="shared" ref="J109:K109" si="124">SUM(J110:J112)</f>
        <v>2700</v>
      </c>
      <c r="K109" s="319">
        <f t="shared" si="124"/>
        <v>0</v>
      </c>
      <c r="L109" s="333">
        <f t="shared" si="91"/>
        <v>-2700</v>
      </c>
      <c r="M109" s="334">
        <f t="shared" si="92"/>
        <v>-1</v>
      </c>
      <c r="N109" s="513"/>
      <c r="O109" s="319">
        <f t="shared" ref="O109:P109" si="125">SUM(O110:O112)</f>
        <v>4100</v>
      </c>
      <c r="P109" s="319">
        <f t="shared" si="125"/>
        <v>0</v>
      </c>
      <c r="Q109" s="333">
        <f t="shared" si="93"/>
        <v>-4100</v>
      </c>
      <c r="R109" s="334">
        <f t="shared" si="94"/>
        <v>-1</v>
      </c>
      <c r="S109" s="513"/>
      <c r="T109" s="319">
        <f t="shared" ref="T109:U109" si="126">SUM(T110:T112)</f>
        <v>5500</v>
      </c>
      <c r="U109" s="319">
        <f t="shared" si="126"/>
        <v>0</v>
      </c>
      <c r="V109" s="333">
        <f t="shared" si="96"/>
        <v>-5500</v>
      </c>
      <c r="W109" s="334">
        <f t="shared" si="97"/>
        <v>-1</v>
      </c>
      <c r="X109" s="513"/>
    </row>
    <row r="110" spans="1:24" s="2" customFormat="1" ht="17.100000000000001" customHeight="1" x14ac:dyDescent="0.2">
      <c r="A110" s="116">
        <v>2321</v>
      </c>
      <c r="B110" s="69" t="s">
        <v>48</v>
      </c>
      <c r="C110" s="186">
        <v>103850</v>
      </c>
      <c r="D110" s="163">
        <v>0</v>
      </c>
      <c r="E110" s="163"/>
      <c r="F110" s="163"/>
      <c r="G110" s="164">
        <f t="shared" si="85"/>
        <v>0</v>
      </c>
      <c r="H110" s="165" t="str">
        <f t="shared" si="86"/>
        <v>-</v>
      </c>
      <c r="I110" s="523"/>
      <c r="J110" s="163"/>
      <c r="K110" s="163"/>
      <c r="L110" s="164">
        <f t="shared" si="91"/>
        <v>0</v>
      </c>
      <c r="M110" s="165" t="str">
        <f t="shared" si="92"/>
        <v>-</v>
      </c>
      <c r="N110" s="514"/>
      <c r="O110" s="163"/>
      <c r="P110" s="163"/>
      <c r="Q110" s="164">
        <f t="shared" si="93"/>
        <v>0</v>
      </c>
      <c r="R110" s="165" t="str">
        <f t="shared" si="94"/>
        <v>-</v>
      </c>
      <c r="S110" s="514"/>
      <c r="T110" s="163">
        <f>D110</f>
        <v>0</v>
      </c>
      <c r="U110" s="163"/>
      <c r="V110" s="164">
        <f t="shared" si="96"/>
        <v>0</v>
      </c>
      <c r="W110" s="165" t="str">
        <f t="shared" si="97"/>
        <v>-</v>
      </c>
      <c r="X110" s="514"/>
    </row>
    <row r="111" spans="1:24" s="4" customFormat="1" ht="17.100000000000001" customHeight="1" x14ac:dyDescent="0.2">
      <c r="A111" s="116">
        <v>2322</v>
      </c>
      <c r="B111" s="69" t="s">
        <v>49</v>
      </c>
      <c r="C111" s="186">
        <v>7796</v>
      </c>
      <c r="D111" s="163">
        <v>5500</v>
      </c>
      <c r="E111" s="163">
        <v>2600</v>
      </c>
      <c r="F111" s="163">
        <v>1332</v>
      </c>
      <c r="G111" s="164">
        <f t="shared" si="85"/>
        <v>-1268</v>
      </c>
      <c r="H111" s="165">
        <f t="shared" si="86"/>
        <v>-0.4876923076923077</v>
      </c>
      <c r="I111" s="523"/>
      <c r="J111" s="163">
        <v>2700</v>
      </c>
      <c r="K111" s="163"/>
      <c r="L111" s="164">
        <f t="shared" si="91"/>
        <v>-2700</v>
      </c>
      <c r="M111" s="165">
        <f t="shared" si="92"/>
        <v>-1</v>
      </c>
      <c r="N111" s="514"/>
      <c r="O111" s="163">
        <v>4100</v>
      </c>
      <c r="P111" s="163"/>
      <c r="Q111" s="164">
        <f t="shared" si="93"/>
        <v>-4100</v>
      </c>
      <c r="R111" s="165">
        <f t="shared" si="94"/>
        <v>-1</v>
      </c>
      <c r="S111" s="514"/>
      <c r="T111" s="163">
        <f>D111</f>
        <v>5500</v>
      </c>
      <c r="U111" s="163"/>
      <c r="V111" s="164">
        <f t="shared" si="96"/>
        <v>-5500</v>
      </c>
      <c r="W111" s="165">
        <f t="shared" si="97"/>
        <v>-1</v>
      </c>
      <c r="X111" s="514"/>
    </row>
    <row r="112" spans="1:24" s="4" customFormat="1" ht="17.100000000000001" hidden="1" customHeight="1" x14ac:dyDescent="0.2">
      <c r="A112" s="116">
        <v>2329</v>
      </c>
      <c r="B112" s="69" t="s">
        <v>50</v>
      </c>
      <c r="C112" s="186"/>
      <c r="D112" s="163"/>
      <c r="E112" s="163"/>
      <c r="F112" s="163"/>
      <c r="G112" s="164">
        <f t="shared" si="85"/>
        <v>0</v>
      </c>
      <c r="H112" s="165" t="str">
        <f t="shared" si="86"/>
        <v>-</v>
      </c>
      <c r="I112" s="524"/>
      <c r="J112" s="163"/>
      <c r="K112" s="163"/>
      <c r="L112" s="164">
        <f t="shared" si="91"/>
        <v>0</v>
      </c>
      <c r="M112" s="165" t="str">
        <f t="shared" si="92"/>
        <v>-</v>
      </c>
      <c r="N112" s="515"/>
      <c r="O112" s="163"/>
      <c r="P112" s="163"/>
      <c r="Q112" s="164">
        <f t="shared" si="93"/>
        <v>0</v>
      </c>
      <c r="R112" s="165" t="str">
        <f t="shared" si="94"/>
        <v>-</v>
      </c>
      <c r="S112" s="515"/>
      <c r="T112" s="163"/>
      <c r="U112" s="163"/>
      <c r="V112" s="164">
        <f t="shared" si="96"/>
        <v>0</v>
      </c>
      <c r="W112" s="165" t="str">
        <f t="shared" si="97"/>
        <v>-</v>
      </c>
      <c r="X112" s="515"/>
    </row>
    <row r="113" spans="1:24" s="326" customFormat="1" ht="17.100000000000001" hidden="1" customHeight="1" x14ac:dyDescent="0.2">
      <c r="A113" s="182">
        <v>2330</v>
      </c>
      <c r="B113" s="193" t="s">
        <v>51</v>
      </c>
      <c r="C113" s="191"/>
      <c r="D113" s="191"/>
      <c r="E113" s="191"/>
      <c r="F113" s="191"/>
      <c r="G113" s="333">
        <f t="shared" si="85"/>
        <v>0</v>
      </c>
      <c r="H113" s="334" t="str">
        <f t="shared" si="86"/>
        <v>-</v>
      </c>
      <c r="I113" s="502"/>
      <c r="J113" s="191"/>
      <c r="K113" s="191"/>
      <c r="L113" s="333">
        <f t="shared" si="91"/>
        <v>0</v>
      </c>
      <c r="M113" s="334" t="str">
        <f t="shared" si="92"/>
        <v>-</v>
      </c>
      <c r="N113" s="335"/>
      <c r="O113" s="191"/>
      <c r="P113" s="191"/>
      <c r="Q113" s="333">
        <f t="shared" si="93"/>
        <v>0</v>
      </c>
      <c r="R113" s="334" t="str">
        <f t="shared" si="94"/>
        <v>-</v>
      </c>
      <c r="S113" s="335"/>
      <c r="T113" s="191"/>
      <c r="U113" s="191"/>
      <c r="V113" s="333">
        <f t="shared" si="96"/>
        <v>0</v>
      </c>
      <c r="W113" s="334" t="str">
        <f t="shared" si="97"/>
        <v>-</v>
      </c>
      <c r="X113" s="335"/>
    </row>
    <row r="114" spans="1:24" s="326" customFormat="1" ht="33.6" customHeight="1" x14ac:dyDescent="0.2">
      <c r="A114" s="182">
        <v>2340</v>
      </c>
      <c r="B114" s="190" t="s">
        <v>52</v>
      </c>
      <c r="C114" s="191">
        <f>C115+C116+C117</f>
        <v>292422</v>
      </c>
      <c r="D114" s="191">
        <f>D115+D116+D117</f>
        <v>268708</v>
      </c>
      <c r="E114" s="191">
        <f>E115+E116+E117</f>
        <v>72825</v>
      </c>
      <c r="F114" s="191">
        <f>F115+F116+F117</f>
        <v>66685</v>
      </c>
      <c r="G114" s="333">
        <f t="shared" si="85"/>
        <v>-6140</v>
      </c>
      <c r="H114" s="334">
        <f t="shared" si="86"/>
        <v>-8.431170614486784E-2</v>
      </c>
      <c r="I114" s="526"/>
      <c r="J114" s="191">
        <f>J115+J116+J117</f>
        <v>128350</v>
      </c>
      <c r="K114" s="191">
        <f>K115+K116+K117</f>
        <v>0</v>
      </c>
      <c r="L114" s="333">
        <f t="shared" si="91"/>
        <v>-128350</v>
      </c>
      <c r="M114" s="334">
        <f t="shared" si="92"/>
        <v>-1</v>
      </c>
      <c r="N114" s="516"/>
      <c r="O114" s="191">
        <f>O115+O116+O117</f>
        <v>192775</v>
      </c>
      <c r="P114" s="191">
        <f>P115+P116+P117</f>
        <v>0</v>
      </c>
      <c r="Q114" s="333">
        <f t="shared" si="93"/>
        <v>-192775</v>
      </c>
      <c r="R114" s="334">
        <f t="shared" si="94"/>
        <v>-1</v>
      </c>
      <c r="S114" s="516"/>
      <c r="T114" s="191">
        <f>T115+T116+T117</f>
        <v>268708</v>
      </c>
      <c r="U114" s="191">
        <f>U115+U116+U117</f>
        <v>0</v>
      </c>
      <c r="V114" s="333">
        <f t="shared" si="96"/>
        <v>-268708</v>
      </c>
      <c r="W114" s="334">
        <f t="shared" si="97"/>
        <v>-1</v>
      </c>
      <c r="X114" s="516"/>
    </row>
    <row r="115" spans="1:24" s="2" customFormat="1" ht="17.100000000000001" customHeight="1" x14ac:dyDescent="0.2">
      <c r="A115" s="336">
        <v>2341</v>
      </c>
      <c r="B115" s="194" t="s">
        <v>53</v>
      </c>
      <c r="C115" s="195">
        <v>173704</v>
      </c>
      <c r="D115" s="195">
        <v>183708</v>
      </c>
      <c r="E115" s="195">
        <v>43425</v>
      </c>
      <c r="F115" s="195">
        <f>2447+43522</f>
        <v>45969</v>
      </c>
      <c r="G115" s="180">
        <f t="shared" si="85"/>
        <v>2544</v>
      </c>
      <c r="H115" s="181">
        <f t="shared" si="86"/>
        <v>5.8583765112262522E-2</v>
      </c>
      <c r="I115" s="527"/>
      <c r="J115" s="195">
        <v>86850</v>
      </c>
      <c r="K115" s="195"/>
      <c r="L115" s="180">
        <f t="shared" si="91"/>
        <v>-86850</v>
      </c>
      <c r="M115" s="181">
        <f t="shared" si="92"/>
        <v>-1</v>
      </c>
      <c r="N115" s="517"/>
      <c r="O115" s="195">
        <v>130275</v>
      </c>
      <c r="P115" s="195"/>
      <c r="Q115" s="180">
        <f t="shared" si="93"/>
        <v>-130275</v>
      </c>
      <c r="R115" s="181">
        <f t="shared" si="94"/>
        <v>-1</v>
      </c>
      <c r="S115" s="517"/>
      <c r="T115" s="195">
        <f>D115</f>
        <v>183708</v>
      </c>
      <c r="U115" s="195"/>
      <c r="V115" s="180">
        <f t="shared" si="96"/>
        <v>-183708</v>
      </c>
      <c r="W115" s="181">
        <f t="shared" si="97"/>
        <v>-1</v>
      </c>
      <c r="X115" s="517"/>
    </row>
    <row r="116" spans="1:24" s="4" customFormat="1" ht="17.100000000000001" customHeight="1" x14ac:dyDescent="0.2">
      <c r="A116" s="336">
        <v>2343</v>
      </c>
      <c r="B116" s="194" t="s">
        <v>297</v>
      </c>
      <c r="C116" s="195"/>
      <c r="D116" s="482"/>
      <c r="E116" s="195"/>
      <c r="F116" s="195"/>
      <c r="G116" s="196">
        <f t="shared" si="85"/>
        <v>0</v>
      </c>
      <c r="H116" s="181" t="str">
        <f t="shared" si="86"/>
        <v>-</v>
      </c>
      <c r="I116" s="527"/>
      <c r="J116" s="195"/>
      <c r="K116" s="195"/>
      <c r="L116" s="196">
        <f t="shared" si="91"/>
        <v>0</v>
      </c>
      <c r="M116" s="181" t="str">
        <f t="shared" si="92"/>
        <v>-</v>
      </c>
      <c r="N116" s="517"/>
      <c r="O116" s="195"/>
      <c r="P116" s="195"/>
      <c r="Q116" s="196">
        <f t="shared" si="93"/>
        <v>0</v>
      </c>
      <c r="R116" s="181" t="str">
        <f t="shared" si="94"/>
        <v>-</v>
      </c>
      <c r="S116" s="517"/>
      <c r="T116" s="195">
        <f t="shared" ref="T116:T117" si="127">D116</f>
        <v>0</v>
      </c>
      <c r="U116" s="195"/>
      <c r="V116" s="196">
        <f t="shared" si="96"/>
        <v>0</v>
      </c>
      <c r="W116" s="181" t="str">
        <f t="shared" si="97"/>
        <v>-</v>
      </c>
      <c r="X116" s="517"/>
    </row>
    <row r="117" spans="1:24" s="4" customFormat="1" ht="17.100000000000001" customHeight="1" x14ac:dyDescent="0.2">
      <c r="A117" s="336">
        <v>2344</v>
      </c>
      <c r="B117" s="194" t="s">
        <v>299</v>
      </c>
      <c r="C117" s="195">
        <v>118718</v>
      </c>
      <c r="D117" s="195">
        <v>85000</v>
      </c>
      <c r="E117" s="195">
        <v>29400</v>
      </c>
      <c r="F117" s="195">
        <v>20716</v>
      </c>
      <c r="G117" s="180">
        <f t="shared" si="85"/>
        <v>-8684</v>
      </c>
      <c r="H117" s="181">
        <f t="shared" si="86"/>
        <v>-0.29537414965986397</v>
      </c>
      <c r="I117" s="528"/>
      <c r="J117" s="195">
        <v>41500</v>
      </c>
      <c r="K117" s="195"/>
      <c r="L117" s="180">
        <f t="shared" si="91"/>
        <v>-41500</v>
      </c>
      <c r="M117" s="181">
        <f t="shared" si="92"/>
        <v>-1</v>
      </c>
      <c r="N117" s="518"/>
      <c r="O117" s="195">
        <v>62500</v>
      </c>
      <c r="P117" s="195"/>
      <c r="Q117" s="180">
        <f t="shared" si="93"/>
        <v>-62500</v>
      </c>
      <c r="R117" s="181">
        <f t="shared" si="94"/>
        <v>-1</v>
      </c>
      <c r="S117" s="518"/>
      <c r="T117" s="195">
        <f t="shared" si="127"/>
        <v>85000</v>
      </c>
      <c r="U117" s="195"/>
      <c r="V117" s="180">
        <f t="shared" si="96"/>
        <v>-85000</v>
      </c>
      <c r="W117" s="181">
        <f t="shared" si="97"/>
        <v>-1</v>
      </c>
      <c r="X117" s="518"/>
    </row>
    <row r="118" spans="1:24" s="326" customFormat="1" ht="17.100000000000001" customHeight="1" x14ac:dyDescent="0.2">
      <c r="A118" s="182">
        <v>2350</v>
      </c>
      <c r="B118" s="193" t="s">
        <v>346</v>
      </c>
      <c r="C118" s="191">
        <v>106111</v>
      </c>
      <c r="D118" s="191">
        <v>108468</v>
      </c>
      <c r="E118" s="191">
        <v>28240</v>
      </c>
      <c r="F118" s="191">
        <v>27202</v>
      </c>
      <c r="G118" s="333">
        <f t="shared" si="85"/>
        <v>-1038</v>
      </c>
      <c r="H118" s="334">
        <f t="shared" si="86"/>
        <v>-3.6756373937677056E-2</v>
      </c>
      <c r="I118" s="502"/>
      <c r="J118" s="191">
        <v>55000</v>
      </c>
      <c r="K118" s="191"/>
      <c r="L118" s="333">
        <f t="shared" si="91"/>
        <v>-55000</v>
      </c>
      <c r="M118" s="334">
        <f t="shared" si="92"/>
        <v>-1</v>
      </c>
      <c r="N118" s="335"/>
      <c r="O118" s="191">
        <v>80288</v>
      </c>
      <c r="P118" s="191"/>
      <c r="Q118" s="333">
        <f t="shared" si="93"/>
        <v>-80288</v>
      </c>
      <c r="R118" s="334">
        <f t="shared" si="94"/>
        <v>-1</v>
      </c>
      <c r="S118" s="335"/>
      <c r="T118" s="191">
        <f>D118</f>
        <v>108468</v>
      </c>
      <c r="U118" s="191"/>
      <c r="V118" s="333">
        <f t="shared" si="96"/>
        <v>-108468</v>
      </c>
      <c r="W118" s="334">
        <f t="shared" si="97"/>
        <v>-1</v>
      </c>
      <c r="X118" s="335"/>
    </row>
    <row r="119" spans="1:24" s="326" customFormat="1" ht="17.100000000000001" customHeight="1" x14ac:dyDescent="0.2">
      <c r="A119" s="182">
        <v>2360</v>
      </c>
      <c r="B119" s="190" t="s">
        <v>347</v>
      </c>
      <c r="C119" s="319">
        <f t="shared" ref="C119:F119" si="128">SUM(C120:C125)</f>
        <v>324473</v>
      </c>
      <c r="D119" s="319">
        <f t="shared" si="128"/>
        <v>377088</v>
      </c>
      <c r="E119" s="319">
        <f t="shared" si="128"/>
        <v>81645</v>
      </c>
      <c r="F119" s="319">
        <f t="shared" si="128"/>
        <v>86427</v>
      </c>
      <c r="G119" s="333">
        <f t="shared" si="85"/>
        <v>4782</v>
      </c>
      <c r="H119" s="334">
        <f t="shared" si="86"/>
        <v>5.8570641190519933E-2</v>
      </c>
      <c r="I119" s="522"/>
      <c r="J119" s="319">
        <f t="shared" ref="J119:K119" si="129">SUM(J120:J125)</f>
        <v>186291</v>
      </c>
      <c r="K119" s="319">
        <f t="shared" si="129"/>
        <v>0</v>
      </c>
      <c r="L119" s="333">
        <f t="shared" si="91"/>
        <v>-186291</v>
      </c>
      <c r="M119" s="334">
        <f t="shared" si="92"/>
        <v>-1</v>
      </c>
      <c r="N119" s="513"/>
      <c r="O119" s="319">
        <f t="shared" ref="O119:P119" si="130">SUM(O120:O125)</f>
        <v>282722</v>
      </c>
      <c r="P119" s="319">
        <f t="shared" si="130"/>
        <v>0</v>
      </c>
      <c r="Q119" s="333">
        <f t="shared" si="93"/>
        <v>-282722</v>
      </c>
      <c r="R119" s="334">
        <f t="shared" si="94"/>
        <v>-1</v>
      </c>
      <c r="S119" s="513"/>
      <c r="T119" s="319">
        <f t="shared" ref="T119:U119" si="131">SUM(T120:T125)</f>
        <v>377088</v>
      </c>
      <c r="U119" s="319">
        <f t="shared" si="131"/>
        <v>0</v>
      </c>
      <c r="V119" s="333">
        <f t="shared" si="96"/>
        <v>-377088</v>
      </c>
      <c r="W119" s="334">
        <f t="shared" si="97"/>
        <v>-1</v>
      </c>
      <c r="X119" s="513"/>
    </row>
    <row r="120" spans="1:24" s="2" customFormat="1" ht="17.100000000000001" customHeight="1" x14ac:dyDescent="0.2">
      <c r="A120" s="325">
        <v>2361</v>
      </c>
      <c r="B120" s="187" t="s">
        <v>54</v>
      </c>
      <c r="C120" s="186">
        <v>17967</v>
      </c>
      <c r="D120" s="163">
        <v>33238</v>
      </c>
      <c r="E120" s="163">
        <v>2499</v>
      </c>
      <c r="F120" s="163">
        <v>467</v>
      </c>
      <c r="G120" s="164">
        <f t="shared" si="85"/>
        <v>-2032</v>
      </c>
      <c r="H120" s="165">
        <f t="shared" si="86"/>
        <v>-0.81312525010004</v>
      </c>
      <c r="I120" s="523"/>
      <c r="J120" s="163">
        <v>14291</v>
      </c>
      <c r="K120" s="163"/>
      <c r="L120" s="164">
        <f t="shared" si="91"/>
        <v>-14291</v>
      </c>
      <c r="M120" s="165">
        <f t="shared" si="92"/>
        <v>-1</v>
      </c>
      <c r="N120" s="514"/>
      <c r="O120" s="163">
        <v>24842</v>
      </c>
      <c r="P120" s="163"/>
      <c r="Q120" s="164">
        <f t="shared" si="93"/>
        <v>-24842</v>
      </c>
      <c r="R120" s="165">
        <f t="shared" si="94"/>
        <v>-1</v>
      </c>
      <c r="S120" s="514"/>
      <c r="T120" s="163">
        <f>D120</f>
        <v>33238</v>
      </c>
      <c r="U120" s="163"/>
      <c r="V120" s="164">
        <f t="shared" si="96"/>
        <v>-33238</v>
      </c>
      <c r="W120" s="165">
        <f t="shared" si="97"/>
        <v>-1</v>
      </c>
      <c r="X120" s="514"/>
    </row>
    <row r="121" spans="1:24" s="2" customFormat="1" ht="17.100000000000001" customHeight="1" x14ac:dyDescent="0.2">
      <c r="A121" s="325">
        <v>2362</v>
      </c>
      <c r="B121" s="187" t="s">
        <v>55</v>
      </c>
      <c r="C121" s="186"/>
      <c r="D121" s="163"/>
      <c r="E121" s="163"/>
      <c r="F121" s="163"/>
      <c r="G121" s="164">
        <f t="shared" si="85"/>
        <v>0</v>
      </c>
      <c r="H121" s="165" t="str">
        <f t="shared" si="86"/>
        <v>-</v>
      </c>
      <c r="I121" s="523"/>
      <c r="J121" s="163"/>
      <c r="K121" s="163"/>
      <c r="L121" s="164">
        <f t="shared" si="91"/>
        <v>0</v>
      </c>
      <c r="M121" s="165" t="str">
        <f t="shared" si="92"/>
        <v>-</v>
      </c>
      <c r="N121" s="514"/>
      <c r="O121" s="163"/>
      <c r="P121" s="163"/>
      <c r="Q121" s="164">
        <f t="shared" si="93"/>
        <v>0</v>
      </c>
      <c r="R121" s="165" t="str">
        <f t="shared" si="94"/>
        <v>-</v>
      </c>
      <c r="S121" s="514"/>
      <c r="T121" s="163">
        <f t="shared" ref="T121:T122" si="132">D121</f>
        <v>0</v>
      </c>
      <c r="U121" s="163"/>
      <c r="V121" s="164">
        <f t="shared" si="96"/>
        <v>0</v>
      </c>
      <c r="W121" s="165" t="str">
        <f t="shared" si="97"/>
        <v>-</v>
      </c>
      <c r="X121" s="514"/>
    </row>
    <row r="122" spans="1:24" s="2" customFormat="1" ht="17.100000000000001" customHeight="1" x14ac:dyDescent="0.2">
      <c r="A122" s="325">
        <v>2363</v>
      </c>
      <c r="B122" s="187" t="s">
        <v>56</v>
      </c>
      <c r="C122" s="186">
        <v>305728</v>
      </c>
      <c r="D122" s="163">
        <v>343850</v>
      </c>
      <c r="E122" s="163">
        <v>79146</v>
      </c>
      <c r="F122" s="163">
        <v>85960</v>
      </c>
      <c r="G122" s="164">
        <f t="shared" ref="G122:G173" si="133">F122-E122</f>
        <v>6814</v>
      </c>
      <c r="H122" s="165">
        <f t="shared" ref="H122:H173" si="134">IFERROR(G122/ABS(E122), "-")</f>
        <v>8.6094054026735395E-2</v>
      </c>
      <c r="I122" s="523"/>
      <c r="J122" s="163">
        <v>172000</v>
      </c>
      <c r="K122" s="163"/>
      <c r="L122" s="164">
        <f t="shared" si="91"/>
        <v>-172000</v>
      </c>
      <c r="M122" s="165">
        <f t="shared" si="92"/>
        <v>-1</v>
      </c>
      <c r="N122" s="514"/>
      <c r="O122" s="163">
        <v>257880</v>
      </c>
      <c r="P122" s="163"/>
      <c r="Q122" s="164">
        <f t="shared" si="93"/>
        <v>-257880</v>
      </c>
      <c r="R122" s="165">
        <f t="shared" si="94"/>
        <v>-1</v>
      </c>
      <c r="S122" s="514"/>
      <c r="T122" s="163">
        <f t="shared" si="132"/>
        <v>343850</v>
      </c>
      <c r="U122" s="163"/>
      <c r="V122" s="164">
        <f t="shared" si="96"/>
        <v>-343850</v>
      </c>
      <c r="W122" s="165">
        <f t="shared" si="97"/>
        <v>-1</v>
      </c>
      <c r="X122" s="514"/>
    </row>
    <row r="123" spans="1:24" s="2" customFormat="1" ht="17.100000000000001" customHeight="1" x14ac:dyDescent="0.2">
      <c r="A123" s="325">
        <v>2364</v>
      </c>
      <c r="B123" s="187" t="s">
        <v>348</v>
      </c>
      <c r="C123" s="186"/>
      <c r="D123" s="163"/>
      <c r="E123" s="163"/>
      <c r="F123" s="163"/>
      <c r="G123" s="164">
        <f t="shared" si="133"/>
        <v>0</v>
      </c>
      <c r="H123" s="165" t="str">
        <f t="shared" si="134"/>
        <v>-</v>
      </c>
      <c r="I123" s="523"/>
      <c r="J123" s="163"/>
      <c r="K123" s="163"/>
      <c r="L123" s="164">
        <f t="shared" si="91"/>
        <v>0</v>
      </c>
      <c r="M123" s="165" t="str">
        <f t="shared" si="92"/>
        <v>-</v>
      </c>
      <c r="N123" s="514"/>
      <c r="O123" s="163"/>
      <c r="P123" s="163"/>
      <c r="Q123" s="164">
        <f t="shared" si="93"/>
        <v>0</v>
      </c>
      <c r="R123" s="165" t="str">
        <f t="shared" si="94"/>
        <v>-</v>
      </c>
      <c r="S123" s="514"/>
      <c r="T123" s="163"/>
      <c r="U123" s="163"/>
      <c r="V123" s="164">
        <f t="shared" si="96"/>
        <v>0</v>
      </c>
      <c r="W123" s="165" t="str">
        <f t="shared" si="97"/>
        <v>-</v>
      </c>
      <c r="X123" s="514"/>
    </row>
    <row r="124" spans="1:24" s="4" customFormat="1" ht="17.100000000000001" customHeight="1" x14ac:dyDescent="0.2">
      <c r="A124" s="325">
        <v>2366</v>
      </c>
      <c r="B124" s="187" t="s">
        <v>57</v>
      </c>
      <c r="C124" s="186"/>
      <c r="D124" s="163"/>
      <c r="E124" s="163"/>
      <c r="F124" s="163"/>
      <c r="G124" s="164">
        <f t="shared" si="133"/>
        <v>0</v>
      </c>
      <c r="H124" s="165" t="str">
        <f t="shared" si="134"/>
        <v>-</v>
      </c>
      <c r="I124" s="523"/>
      <c r="J124" s="163"/>
      <c r="K124" s="163"/>
      <c r="L124" s="164">
        <f t="shared" si="91"/>
        <v>0</v>
      </c>
      <c r="M124" s="165" t="str">
        <f t="shared" si="92"/>
        <v>-</v>
      </c>
      <c r="N124" s="514"/>
      <c r="O124" s="163"/>
      <c r="P124" s="163"/>
      <c r="Q124" s="164">
        <f t="shared" si="93"/>
        <v>0</v>
      </c>
      <c r="R124" s="165" t="str">
        <f t="shared" si="94"/>
        <v>-</v>
      </c>
      <c r="S124" s="514"/>
      <c r="T124" s="163"/>
      <c r="U124" s="163"/>
      <c r="V124" s="164">
        <f t="shared" si="96"/>
        <v>0</v>
      </c>
      <c r="W124" s="165" t="str">
        <f t="shared" si="97"/>
        <v>-</v>
      </c>
      <c r="X124" s="514"/>
    </row>
    <row r="125" spans="1:24" s="4" customFormat="1" ht="35.1" customHeight="1" x14ac:dyDescent="0.2">
      <c r="A125" s="325">
        <v>2369</v>
      </c>
      <c r="B125" s="187" t="s">
        <v>134</v>
      </c>
      <c r="C125" s="186">
        <v>778</v>
      </c>
      <c r="D125" s="163">
        <v>0</v>
      </c>
      <c r="E125" s="163"/>
      <c r="F125" s="163"/>
      <c r="G125" s="164">
        <f t="shared" si="133"/>
        <v>0</v>
      </c>
      <c r="H125" s="165" t="str">
        <f t="shared" si="134"/>
        <v>-</v>
      </c>
      <c r="I125" s="524"/>
      <c r="J125" s="163"/>
      <c r="K125" s="163"/>
      <c r="L125" s="164">
        <f t="shared" si="91"/>
        <v>0</v>
      </c>
      <c r="M125" s="165" t="str">
        <f t="shared" si="92"/>
        <v>-</v>
      </c>
      <c r="N125" s="515"/>
      <c r="O125" s="163"/>
      <c r="P125" s="163"/>
      <c r="Q125" s="164">
        <f t="shared" si="93"/>
        <v>0</v>
      </c>
      <c r="R125" s="165" t="str">
        <f t="shared" si="94"/>
        <v>-</v>
      </c>
      <c r="S125" s="515"/>
      <c r="T125" s="163">
        <f>D125</f>
        <v>0</v>
      </c>
      <c r="U125" s="163"/>
      <c r="V125" s="164">
        <f t="shared" si="96"/>
        <v>0</v>
      </c>
      <c r="W125" s="165" t="str">
        <f t="shared" si="97"/>
        <v>-</v>
      </c>
      <c r="X125" s="515"/>
    </row>
    <row r="126" spans="1:24" s="326" customFormat="1" ht="17.100000000000001" customHeight="1" x14ac:dyDescent="0.2">
      <c r="A126" s="182">
        <v>2370</v>
      </c>
      <c r="B126" s="193" t="s">
        <v>58</v>
      </c>
      <c r="C126" s="191"/>
      <c r="D126" s="170"/>
      <c r="E126" s="170"/>
      <c r="F126" s="170"/>
      <c r="G126" s="333">
        <f t="shared" si="133"/>
        <v>0</v>
      </c>
      <c r="H126" s="334" t="str">
        <f t="shared" si="134"/>
        <v>-</v>
      </c>
      <c r="I126" s="502"/>
      <c r="J126" s="170"/>
      <c r="K126" s="170"/>
      <c r="L126" s="333">
        <f t="shared" si="91"/>
        <v>0</v>
      </c>
      <c r="M126" s="334" t="str">
        <f t="shared" si="92"/>
        <v>-</v>
      </c>
      <c r="N126" s="335"/>
      <c r="O126" s="170"/>
      <c r="P126" s="170"/>
      <c r="Q126" s="333">
        <f t="shared" si="93"/>
        <v>0</v>
      </c>
      <c r="R126" s="334" t="str">
        <f t="shared" si="94"/>
        <v>-</v>
      </c>
      <c r="S126" s="335"/>
      <c r="T126" s="170"/>
      <c r="U126" s="170"/>
      <c r="V126" s="333">
        <f t="shared" si="96"/>
        <v>0</v>
      </c>
      <c r="W126" s="334" t="str">
        <f t="shared" si="97"/>
        <v>-</v>
      </c>
      <c r="X126" s="335"/>
    </row>
    <row r="127" spans="1:24" s="326" customFormat="1" ht="17.100000000000001" customHeight="1" x14ac:dyDescent="0.2">
      <c r="A127" s="182">
        <v>2380</v>
      </c>
      <c r="B127" s="193" t="s">
        <v>59</v>
      </c>
      <c r="C127" s="191"/>
      <c r="D127" s="191"/>
      <c r="E127" s="191"/>
      <c r="F127" s="191"/>
      <c r="G127" s="333">
        <f t="shared" si="133"/>
        <v>0</v>
      </c>
      <c r="H127" s="334" t="str">
        <f t="shared" si="134"/>
        <v>-</v>
      </c>
      <c r="I127" s="502"/>
      <c r="J127" s="191"/>
      <c r="K127" s="191"/>
      <c r="L127" s="333">
        <f t="shared" si="91"/>
        <v>0</v>
      </c>
      <c r="M127" s="334" t="str">
        <f t="shared" si="92"/>
        <v>-</v>
      </c>
      <c r="N127" s="335"/>
      <c r="O127" s="191"/>
      <c r="P127" s="191"/>
      <c r="Q127" s="333">
        <f t="shared" si="93"/>
        <v>0</v>
      </c>
      <c r="R127" s="334" t="str">
        <f t="shared" si="94"/>
        <v>-</v>
      </c>
      <c r="S127" s="335"/>
      <c r="T127" s="191"/>
      <c r="U127" s="191"/>
      <c r="V127" s="333">
        <f t="shared" si="96"/>
        <v>0</v>
      </c>
      <c r="W127" s="334" t="str">
        <f t="shared" si="97"/>
        <v>-</v>
      </c>
      <c r="X127" s="335"/>
    </row>
    <row r="128" spans="1:24" s="328" customFormat="1" ht="17.100000000000001" customHeight="1" x14ac:dyDescent="0.2">
      <c r="A128" s="182">
        <v>2390</v>
      </c>
      <c r="B128" s="193" t="s">
        <v>60</v>
      </c>
      <c r="C128" s="191">
        <v>1707</v>
      </c>
      <c r="D128" s="170">
        <v>1720</v>
      </c>
      <c r="E128" s="170">
        <v>430</v>
      </c>
      <c r="F128" s="170">
        <v>316</v>
      </c>
      <c r="G128" s="333">
        <f t="shared" si="133"/>
        <v>-114</v>
      </c>
      <c r="H128" s="334">
        <f t="shared" si="134"/>
        <v>-0.26511627906976742</v>
      </c>
      <c r="I128" s="502"/>
      <c r="J128" s="170">
        <v>860</v>
      </c>
      <c r="K128" s="170"/>
      <c r="L128" s="333">
        <f t="shared" si="91"/>
        <v>-860</v>
      </c>
      <c r="M128" s="334">
        <f t="shared" si="92"/>
        <v>-1</v>
      </c>
      <c r="N128" s="335"/>
      <c r="O128" s="170">
        <v>1290</v>
      </c>
      <c r="P128" s="170"/>
      <c r="Q128" s="333">
        <f t="shared" si="93"/>
        <v>-1290</v>
      </c>
      <c r="R128" s="334">
        <f t="shared" si="94"/>
        <v>-1</v>
      </c>
      <c r="S128" s="335"/>
      <c r="T128" s="170">
        <f>D128</f>
        <v>1720</v>
      </c>
      <c r="U128" s="170"/>
      <c r="V128" s="333">
        <f t="shared" si="96"/>
        <v>-1720</v>
      </c>
      <c r="W128" s="334">
        <f t="shared" si="97"/>
        <v>-1</v>
      </c>
      <c r="X128" s="335"/>
    </row>
    <row r="129" spans="1:24" ht="17.100000000000001" customHeight="1" x14ac:dyDescent="0.2">
      <c r="A129" s="147">
        <v>2500</v>
      </c>
      <c r="B129" s="208" t="s">
        <v>349</v>
      </c>
      <c r="C129" s="207">
        <f t="shared" ref="C129:F129" si="135">SUM(C130+C138)</f>
        <v>14148</v>
      </c>
      <c r="D129" s="207">
        <f t="shared" si="135"/>
        <v>8381</v>
      </c>
      <c r="E129" s="207">
        <f t="shared" si="135"/>
        <v>2124</v>
      </c>
      <c r="F129" s="207">
        <f t="shared" si="135"/>
        <v>2124</v>
      </c>
      <c r="G129" s="203">
        <f t="shared" si="133"/>
        <v>0</v>
      </c>
      <c r="H129" s="204">
        <f t="shared" si="134"/>
        <v>0</v>
      </c>
      <c r="I129" s="497"/>
      <c r="J129" s="207">
        <f t="shared" ref="J129:K129" si="136">SUM(J130+J138)</f>
        <v>4393</v>
      </c>
      <c r="K129" s="207">
        <f t="shared" si="136"/>
        <v>0</v>
      </c>
      <c r="L129" s="203">
        <f t="shared" si="91"/>
        <v>-4393</v>
      </c>
      <c r="M129" s="204">
        <f t="shared" si="92"/>
        <v>-1</v>
      </c>
      <c r="N129" s="214"/>
      <c r="O129" s="207">
        <f t="shared" ref="O129:P129" si="137">SUM(O130+O138)</f>
        <v>6387</v>
      </c>
      <c r="P129" s="207">
        <f t="shared" si="137"/>
        <v>0</v>
      </c>
      <c r="Q129" s="203">
        <f t="shared" si="93"/>
        <v>-6387</v>
      </c>
      <c r="R129" s="204">
        <f t="shared" si="94"/>
        <v>-1</v>
      </c>
      <c r="S129" s="214"/>
      <c r="T129" s="207">
        <f t="shared" ref="T129:U129" si="138">SUM(T130+T138)</f>
        <v>8381</v>
      </c>
      <c r="U129" s="207">
        <f t="shared" si="138"/>
        <v>0</v>
      </c>
      <c r="V129" s="203">
        <f t="shared" si="96"/>
        <v>-8381</v>
      </c>
      <c r="W129" s="204">
        <f t="shared" si="97"/>
        <v>-1</v>
      </c>
      <c r="X129" s="214"/>
    </row>
    <row r="130" spans="1:24" s="328" customFormat="1" ht="17.100000000000001" customHeight="1" x14ac:dyDescent="0.2">
      <c r="A130" s="182">
        <v>2510</v>
      </c>
      <c r="B130" s="193" t="s">
        <v>350</v>
      </c>
      <c r="C130" s="319">
        <f t="shared" ref="C130:F130" si="139">SUM(C131:C137)</f>
        <v>14147</v>
      </c>
      <c r="D130" s="319">
        <f t="shared" si="139"/>
        <v>8381</v>
      </c>
      <c r="E130" s="319">
        <f t="shared" si="139"/>
        <v>2124</v>
      </c>
      <c r="F130" s="319">
        <f t="shared" si="139"/>
        <v>2124</v>
      </c>
      <c r="G130" s="171">
        <f t="shared" si="133"/>
        <v>0</v>
      </c>
      <c r="H130" s="172">
        <f t="shared" si="134"/>
        <v>0</v>
      </c>
      <c r="I130" s="525"/>
      <c r="J130" s="319">
        <f t="shared" ref="J130:K130" si="140">SUM(J131:J137)</f>
        <v>4393</v>
      </c>
      <c r="K130" s="319">
        <f t="shared" si="140"/>
        <v>0</v>
      </c>
      <c r="L130" s="171">
        <f t="shared" si="91"/>
        <v>-4393</v>
      </c>
      <c r="M130" s="172">
        <f t="shared" si="92"/>
        <v>-1</v>
      </c>
      <c r="N130" s="512"/>
      <c r="O130" s="319">
        <f t="shared" ref="O130:P130" si="141">SUM(O131:O137)</f>
        <v>6387</v>
      </c>
      <c r="P130" s="319">
        <f t="shared" si="141"/>
        <v>0</v>
      </c>
      <c r="Q130" s="171">
        <f t="shared" si="93"/>
        <v>-6387</v>
      </c>
      <c r="R130" s="172">
        <f t="shared" si="94"/>
        <v>-1</v>
      </c>
      <c r="S130" s="512"/>
      <c r="T130" s="319">
        <f t="shared" ref="T130:U130" si="142">SUM(T131:T137)</f>
        <v>8381</v>
      </c>
      <c r="U130" s="319">
        <f t="shared" si="142"/>
        <v>0</v>
      </c>
      <c r="V130" s="171">
        <f t="shared" si="96"/>
        <v>-8381</v>
      </c>
      <c r="W130" s="172">
        <f t="shared" si="97"/>
        <v>-1</v>
      </c>
      <c r="X130" s="512"/>
    </row>
    <row r="131" spans="1:24" ht="17.100000000000001" customHeight="1" x14ac:dyDescent="0.2">
      <c r="A131" s="325">
        <v>2512</v>
      </c>
      <c r="B131" s="187" t="s">
        <v>61</v>
      </c>
      <c r="C131" s="186"/>
      <c r="D131" s="163"/>
      <c r="E131" s="163"/>
      <c r="F131" s="163"/>
      <c r="G131" s="164">
        <f t="shared" si="133"/>
        <v>0</v>
      </c>
      <c r="H131" s="165" t="str">
        <f t="shared" si="134"/>
        <v>-</v>
      </c>
      <c r="I131" s="525"/>
      <c r="J131" s="163"/>
      <c r="K131" s="163"/>
      <c r="L131" s="164">
        <f t="shared" si="91"/>
        <v>0</v>
      </c>
      <c r="M131" s="165" t="str">
        <f t="shared" si="92"/>
        <v>-</v>
      </c>
      <c r="N131" s="512"/>
      <c r="O131" s="163"/>
      <c r="P131" s="163"/>
      <c r="Q131" s="164">
        <f t="shared" si="93"/>
        <v>0</v>
      </c>
      <c r="R131" s="165" t="str">
        <f t="shared" si="94"/>
        <v>-</v>
      </c>
      <c r="S131" s="512"/>
      <c r="T131" s="163"/>
      <c r="U131" s="163"/>
      <c r="V131" s="164">
        <f t="shared" si="96"/>
        <v>0</v>
      </c>
      <c r="W131" s="165" t="str">
        <f t="shared" si="97"/>
        <v>-</v>
      </c>
      <c r="X131" s="512"/>
    </row>
    <row r="132" spans="1:24" ht="17.100000000000001" customHeight="1" x14ac:dyDescent="0.2">
      <c r="A132" s="325">
        <v>2513</v>
      </c>
      <c r="B132" s="187" t="s">
        <v>351</v>
      </c>
      <c r="C132" s="186">
        <v>5672</v>
      </c>
      <c r="D132" s="163">
        <v>5672</v>
      </c>
      <c r="E132" s="163">
        <v>1418</v>
      </c>
      <c r="F132" s="163">
        <v>1418</v>
      </c>
      <c r="G132" s="164">
        <f t="shared" si="133"/>
        <v>0</v>
      </c>
      <c r="H132" s="165">
        <f t="shared" si="134"/>
        <v>0</v>
      </c>
      <c r="I132" s="525"/>
      <c r="J132" s="163">
        <v>2836</v>
      </c>
      <c r="K132" s="163"/>
      <c r="L132" s="164">
        <f t="shared" si="91"/>
        <v>-2836</v>
      </c>
      <c r="M132" s="165">
        <f t="shared" si="92"/>
        <v>-1</v>
      </c>
      <c r="N132" s="512"/>
      <c r="O132" s="163">
        <v>4254</v>
      </c>
      <c r="P132" s="163"/>
      <c r="Q132" s="164">
        <f t="shared" si="93"/>
        <v>-4254</v>
      </c>
      <c r="R132" s="165">
        <f t="shared" si="94"/>
        <v>-1</v>
      </c>
      <c r="S132" s="512"/>
      <c r="T132" s="163">
        <f>D132</f>
        <v>5672</v>
      </c>
      <c r="U132" s="163"/>
      <c r="V132" s="164">
        <f t="shared" si="96"/>
        <v>-5672</v>
      </c>
      <c r="W132" s="165">
        <f t="shared" si="97"/>
        <v>-1</v>
      </c>
      <c r="X132" s="512"/>
    </row>
    <row r="133" spans="1:24" ht="17.100000000000001" customHeight="1" x14ac:dyDescent="0.2">
      <c r="A133" s="325">
        <v>2514</v>
      </c>
      <c r="B133" s="187" t="s">
        <v>62</v>
      </c>
      <c r="C133" s="186"/>
      <c r="D133" s="163"/>
      <c r="E133" s="163"/>
      <c r="F133" s="163"/>
      <c r="G133" s="164">
        <f t="shared" si="133"/>
        <v>0</v>
      </c>
      <c r="H133" s="165" t="str">
        <f t="shared" si="134"/>
        <v>-</v>
      </c>
      <c r="I133" s="525"/>
      <c r="J133" s="163"/>
      <c r="K133" s="163"/>
      <c r="L133" s="164">
        <f t="shared" si="91"/>
        <v>0</v>
      </c>
      <c r="M133" s="165" t="str">
        <f t="shared" si="92"/>
        <v>-</v>
      </c>
      <c r="N133" s="512"/>
      <c r="O133" s="163"/>
      <c r="P133" s="163"/>
      <c r="Q133" s="164">
        <f t="shared" si="93"/>
        <v>0</v>
      </c>
      <c r="R133" s="165" t="str">
        <f t="shared" si="94"/>
        <v>-</v>
      </c>
      <c r="S133" s="512"/>
      <c r="T133" s="163">
        <f t="shared" ref="T133:T138" si="143">D133</f>
        <v>0</v>
      </c>
      <c r="U133" s="163"/>
      <c r="V133" s="164">
        <f t="shared" si="96"/>
        <v>0</v>
      </c>
      <c r="W133" s="165" t="str">
        <f t="shared" si="97"/>
        <v>-</v>
      </c>
      <c r="X133" s="512"/>
    </row>
    <row r="134" spans="1:24" ht="17.100000000000001" customHeight="1" x14ac:dyDescent="0.2">
      <c r="A134" s="325">
        <v>2515</v>
      </c>
      <c r="B134" s="187" t="s">
        <v>63</v>
      </c>
      <c r="C134" s="186">
        <v>5766</v>
      </c>
      <c r="D134" s="163">
        <v>0</v>
      </c>
      <c r="E134" s="163"/>
      <c r="F134" s="163"/>
      <c r="G134" s="164">
        <f t="shared" si="133"/>
        <v>0</v>
      </c>
      <c r="H134" s="165" t="str">
        <f t="shared" si="134"/>
        <v>-</v>
      </c>
      <c r="I134" s="525"/>
      <c r="J134" s="163"/>
      <c r="K134" s="163"/>
      <c r="L134" s="164">
        <f t="shared" si="91"/>
        <v>0</v>
      </c>
      <c r="M134" s="165" t="str">
        <f t="shared" si="92"/>
        <v>-</v>
      </c>
      <c r="N134" s="512"/>
      <c r="O134" s="163"/>
      <c r="P134" s="163"/>
      <c r="Q134" s="164">
        <f t="shared" si="93"/>
        <v>0</v>
      </c>
      <c r="R134" s="165" t="str">
        <f t="shared" si="94"/>
        <v>-</v>
      </c>
      <c r="S134" s="512"/>
      <c r="T134" s="163">
        <f t="shared" si="143"/>
        <v>0</v>
      </c>
      <c r="U134" s="163"/>
      <c r="V134" s="164">
        <f t="shared" si="96"/>
        <v>0</v>
      </c>
      <c r="W134" s="165" t="str">
        <f t="shared" si="97"/>
        <v>-</v>
      </c>
      <c r="X134" s="512"/>
    </row>
    <row r="135" spans="1:24" ht="17.100000000000001" customHeight="1" x14ac:dyDescent="0.2">
      <c r="A135" s="325">
        <v>2516</v>
      </c>
      <c r="B135" s="187" t="s">
        <v>135</v>
      </c>
      <c r="C135" s="186"/>
      <c r="D135" s="163"/>
      <c r="E135" s="163"/>
      <c r="F135" s="163"/>
      <c r="G135" s="164">
        <f t="shared" si="133"/>
        <v>0</v>
      </c>
      <c r="H135" s="165" t="str">
        <f t="shared" si="134"/>
        <v>-</v>
      </c>
      <c r="I135" s="525"/>
      <c r="J135" s="163"/>
      <c r="K135" s="163"/>
      <c r="L135" s="164">
        <f t="shared" ref="L135:L173" si="144">K135-J135</f>
        <v>0</v>
      </c>
      <c r="M135" s="165" t="str">
        <f t="shared" ref="M135:M173" si="145">IFERROR(L135/ABS(J135), "-")</f>
        <v>-</v>
      </c>
      <c r="N135" s="512"/>
      <c r="O135" s="163"/>
      <c r="P135" s="163"/>
      <c r="Q135" s="164">
        <f t="shared" ref="Q135:Q173" si="146">P135-O135</f>
        <v>0</v>
      </c>
      <c r="R135" s="165" t="str">
        <f t="shared" ref="R135:R173" si="147">IFERROR(Q135/ABS(O135), "-")</f>
        <v>-</v>
      </c>
      <c r="S135" s="512"/>
      <c r="T135" s="163">
        <f t="shared" si="143"/>
        <v>0</v>
      </c>
      <c r="U135" s="163"/>
      <c r="V135" s="164">
        <f t="shared" ref="V135:V173" si="148">U135-T135</f>
        <v>0</v>
      </c>
      <c r="W135" s="165" t="str">
        <f t="shared" ref="W135:W173" si="149">IFERROR(V135/ABS(T135), "-")</f>
        <v>-</v>
      </c>
      <c r="X135" s="512"/>
    </row>
    <row r="136" spans="1:24" ht="17.100000000000001" customHeight="1" x14ac:dyDescent="0.2">
      <c r="A136" s="336">
        <v>2518</v>
      </c>
      <c r="B136" s="194" t="s">
        <v>64</v>
      </c>
      <c r="C136" s="197">
        <v>2304</v>
      </c>
      <c r="D136" s="163">
        <v>2304</v>
      </c>
      <c r="E136" s="163">
        <v>576</v>
      </c>
      <c r="F136" s="163">
        <v>576</v>
      </c>
      <c r="G136" s="164">
        <f t="shared" si="133"/>
        <v>0</v>
      </c>
      <c r="H136" s="165">
        <f t="shared" si="134"/>
        <v>0</v>
      </c>
      <c r="I136" s="525"/>
      <c r="J136" s="163">
        <v>1152</v>
      </c>
      <c r="K136" s="163"/>
      <c r="L136" s="164">
        <f t="shared" si="144"/>
        <v>-1152</v>
      </c>
      <c r="M136" s="165">
        <f t="shared" si="145"/>
        <v>-1</v>
      </c>
      <c r="N136" s="512"/>
      <c r="O136" s="163">
        <v>1728</v>
      </c>
      <c r="P136" s="163"/>
      <c r="Q136" s="164">
        <f t="shared" si="146"/>
        <v>-1728</v>
      </c>
      <c r="R136" s="165">
        <f t="shared" si="147"/>
        <v>-1</v>
      </c>
      <c r="S136" s="512"/>
      <c r="T136" s="163">
        <f t="shared" si="143"/>
        <v>2304</v>
      </c>
      <c r="U136" s="163"/>
      <c r="V136" s="164">
        <f t="shared" si="148"/>
        <v>-2304</v>
      </c>
      <c r="W136" s="165">
        <f t="shared" si="149"/>
        <v>-1</v>
      </c>
      <c r="X136" s="512"/>
    </row>
    <row r="137" spans="1:24" s="2" customFormat="1" ht="17.100000000000001" customHeight="1" x14ac:dyDescent="0.2">
      <c r="A137" s="325">
        <v>2519</v>
      </c>
      <c r="B137" s="187" t="s">
        <v>65</v>
      </c>
      <c r="C137" s="186">
        <v>405</v>
      </c>
      <c r="D137" s="163">
        <v>405</v>
      </c>
      <c r="E137" s="163">
        <v>130</v>
      </c>
      <c r="F137" s="163">
        <v>130</v>
      </c>
      <c r="G137" s="164">
        <f t="shared" si="133"/>
        <v>0</v>
      </c>
      <c r="H137" s="165">
        <f t="shared" si="134"/>
        <v>0</v>
      </c>
      <c r="I137" s="525"/>
      <c r="J137" s="163">
        <v>405</v>
      </c>
      <c r="K137" s="163"/>
      <c r="L137" s="164">
        <f t="shared" si="144"/>
        <v>-405</v>
      </c>
      <c r="M137" s="165">
        <f t="shared" si="145"/>
        <v>-1</v>
      </c>
      <c r="N137" s="512"/>
      <c r="O137" s="163">
        <v>405</v>
      </c>
      <c r="P137" s="163"/>
      <c r="Q137" s="164">
        <f t="shared" si="146"/>
        <v>-405</v>
      </c>
      <c r="R137" s="165">
        <f t="shared" si="147"/>
        <v>-1</v>
      </c>
      <c r="S137" s="512"/>
      <c r="T137" s="163">
        <f t="shared" si="143"/>
        <v>405</v>
      </c>
      <c r="U137" s="163"/>
      <c r="V137" s="164">
        <f t="shared" si="148"/>
        <v>-405</v>
      </c>
      <c r="W137" s="165">
        <f t="shared" si="149"/>
        <v>-1</v>
      </c>
      <c r="X137" s="512"/>
    </row>
    <row r="138" spans="1:24" ht="17.100000000000001" customHeight="1" x14ac:dyDescent="0.2">
      <c r="A138" s="182">
        <v>2520</v>
      </c>
      <c r="B138" s="190" t="s">
        <v>352</v>
      </c>
      <c r="C138" s="191">
        <v>1</v>
      </c>
      <c r="D138" s="170">
        <v>0</v>
      </c>
      <c r="E138" s="170"/>
      <c r="F138" s="170"/>
      <c r="G138" s="171">
        <f t="shared" si="133"/>
        <v>0</v>
      </c>
      <c r="H138" s="172" t="str">
        <f t="shared" si="134"/>
        <v>-</v>
      </c>
      <c r="I138" s="503"/>
      <c r="J138" s="170"/>
      <c r="K138" s="170"/>
      <c r="L138" s="171">
        <f t="shared" si="144"/>
        <v>0</v>
      </c>
      <c r="M138" s="172" t="str">
        <f t="shared" si="145"/>
        <v>-</v>
      </c>
      <c r="N138" s="198"/>
      <c r="O138" s="170"/>
      <c r="P138" s="170"/>
      <c r="Q138" s="171">
        <f t="shared" si="146"/>
        <v>0</v>
      </c>
      <c r="R138" s="172" t="str">
        <f t="shared" si="147"/>
        <v>-</v>
      </c>
      <c r="S138" s="198"/>
      <c r="T138" s="163">
        <f t="shared" si="143"/>
        <v>0</v>
      </c>
      <c r="U138" s="170"/>
      <c r="V138" s="171">
        <f t="shared" si="148"/>
        <v>0</v>
      </c>
      <c r="W138" s="172" t="str">
        <f t="shared" si="149"/>
        <v>-</v>
      </c>
      <c r="X138" s="198"/>
    </row>
    <row r="139" spans="1:24" ht="32.1" customHeight="1" x14ac:dyDescent="0.2">
      <c r="A139" s="147">
        <v>2800</v>
      </c>
      <c r="B139" s="208" t="s">
        <v>602</v>
      </c>
      <c r="C139" s="418">
        <v>44868</v>
      </c>
      <c r="D139" s="419">
        <v>45200</v>
      </c>
      <c r="E139" s="419">
        <v>11300</v>
      </c>
      <c r="F139" s="419">
        <v>12599</v>
      </c>
      <c r="G139" s="203">
        <f t="shared" ref="G139" si="150">F139-E139</f>
        <v>1299</v>
      </c>
      <c r="H139" s="204">
        <f t="shared" ref="H139" si="151">IFERROR(G139/ABS(E139), "-")</f>
        <v>0.11495575221238938</v>
      </c>
      <c r="I139" s="504"/>
      <c r="J139" s="419">
        <v>22600</v>
      </c>
      <c r="K139" s="419"/>
      <c r="L139" s="203"/>
      <c r="M139" s="204"/>
      <c r="N139" s="420"/>
      <c r="O139" s="419">
        <v>33900</v>
      </c>
      <c r="P139" s="419"/>
      <c r="Q139" s="203"/>
      <c r="R139" s="204"/>
      <c r="S139" s="420"/>
      <c r="T139" s="419">
        <f>D139</f>
        <v>45200</v>
      </c>
      <c r="U139" s="419"/>
      <c r="V139" s="203"/>
      <c r="W139" s="204"/>
      <c r="X139" s="420"/>
    </row>
    <row r="140" spans="1:24" ht="17.100000000000001" customHeight="1" x14ac:dyDescent="0.2">
      <c r="A140" s="320">
        <v>4000</v>
      </c>
      <c r="B140" s="330" t="s">
        <v>66</v>
      </c>
      <c r="C140" s="321">
        <f>C141+C142+C143</f>
        <v>0</v>
      </c>
      <c r="D140" s="321">
        <f>D141+D142+D143</f>
        <v>0</v>
      </c>
      <c r="E140" s="321">
        <f>E141+E142+E143</f>
        <v>0</v>
      </c>
      <c r="F140" s="321">
        <f>F141+F142+F143</f>
        <v>0</v>
      </c>
      <c r="G140" s="322">
        <f t="shared" si="133"/>
        <v>0</v>
      </c>
      <c r="H140" s="323" t="str">
        <f t="shared" si="134"/>
        <v>-</v>
      </c>
      <c r="I140" s="494"/>
      <c r="J140" s="321">
        <f>J141+J142+J143</f>
        <v>0</v>
      </c>
      <c r="K140" s="321">
        <f>K141+K142+K143</f>
        <v>0</v>
      </c>
      <c r="L140" s="322">
        <f t="shared" si="144"/>
        <v>0</v>
      </c>
      <c r="M140" s="323" t="str">
        <f t="shared" si="145"/>
        <v>-</v>
      </c>
      <c r="N140" s="324"/>
      <c r="O140" s="321">
        <f>O141+O142+O143</f>
        <v>0</v>
      </c>
      <c r="P140" s="321">
        <f>P141+P142+P143</f>
        <v>0</v>
      </c>
      <c r="Q140" s="322">
        <f t="shared" si="146"/>
        <v>0</v>
      </c>
      <c r="R140" s="323" t="str">
        <f t="shared" si="147"/>
        <v>-</v>
      </c>
      <c r="S140" s="324"/>
      <c r="T140" s="321">
        <f>T141+T142+T143</f>
        <v>0</v>
      </c>
      <c r="U140" s="321">
        <f>U141+U142+U143</f>
        <v>0</v>
      </c>
      <c r="V140" s="322">
        <f t="shared" si="148"/>
        <v>0</v>
      </c>
      <c r="W140" s="323" t="str">
        <f t="shared" si="149"/>
        <v>-</v>
      </c>
      <c r="X140" s="324"/>
    </row>
    <row r="141" spans="1:24" s="328" customFormat="1" ht="17.100000000000001" customHeight="1" x14ac:dyDescent="0.2">
      <c r="A141" s="337">
        <v>4100</v>
      </c>
      <c r="B141" s="190" t="s">
        <v>67</v>
      </c>
      <c r="C141" s="319"/>
      <c r="D141" s="319"/>
      <c r="E141" s="319"/>
      <c r="F141" s="319"/>
      <c r="G141" s="171">
        <f t="shared" si="133"/>
        <v>0</v>
      </c>
      <c r="H141" s="172" t="str">
        <f t="shared" si="134"/>
        <v>-</v>
      </c>
      <c r="I141" s="498"/>
      <c r="J141" s="319"/>
      <c r="K141" s="319"/>
      <c r="L141" s="171"/>
      <c r="M141" s="172" t="str">
        <f t="shared" si="145"/>
        <v>-</v>
      </c>
      <c r="N141" s="338"/>
      <c r="O141" s="319"/>
      <c r="P141" s="319"/>
      <c r="Q141" s="171">
        <f t="shared" si="146"/>
        <v>0</v>
      </c>
      <c r="R141" s="172" t="str">
        <f t="shared" si="147"/>
        <v>-</v>
      </c>
      <c r="S141" s="338"/>
      <c r="T141" s="319"/>
      <c r="U141" s="319"/>
      <c r="V141" s="171">
        <f t="shared" si="148"/>
        <v>0</v>
      </c>
      <c r="W141" s="172" t="str">
        <f t="shared" si="149"/>
        <v>-</v>
      </c>
      <c r="X141" s="338"/>
    </row>
    <row r="142" spans="1:24" s="328" customFormat="1" ht="17.100000000000001" customHeight="1" x14ac:dyDescent="0.2">
      <c r="A142" s="337">
        <v>4200</v>
      </c>
      <c r="B142" s="193" t="s">
        <v>68</v>
      </c>
      <c r="C142" s="319"/>
      <c r="D142" s="319"/>
      <c r="E142" s="319"/>
      <c r="F142" s="319"/>
      <c r="G142" s="171">
        <f t="shared" si="133"/>
        <v>0</v>
      </c>
      <c r="H142" s="172" t="str">
        <f t="shared" si="134"/>
        <v>-</v>
      </c>
      <c r="I142" s="498"/>
      <c r="J142" s="319"/>
      <c r="K142" s="319"/>
      <c r="L142" s="171">
        <f t="shared" si="144"/>
        <v>0</v>
      </c>
      <c r="M142" s="172" t="str">
        <f t="shared" si="145"/>
        <v>-</v>
      </c>
      <c r="N142" s="338"/>
      <c r="O142" s="319"/>
      <c r="P142" s="319"/>
      <c r="Q142" s="171">
        <f t="shared" si="146"/>
        <v>0</v>
      </c>
      <c r="R142" s="172" t="str">
        <f t="shared" si="147"/>
        <v>-</v>
      </c>
      <c r="S142" s="338"/>
      <c r="T142" s="319"/>
      <c r="U142" s="329"/>
      <c r="V142" s="171">
        <f t="shared" si="148"/>
        <v>0</v>
      </c>
      <c r="W142" s="172" t="str">
        <f t="shared" si="149"/>
        <v>-</v>
      </c>
      <c r="X142" s="338"/>
    </row>
    <row r="143" spans="1:24" s="328" customFormat="1" ht="17.100000000000001" customHeight="1" x14ac:dyDescent="0.2">
      <c r="A143" s="182">
        <v>4300</v>
      </c>
      <c r="B143" s="190" t="s">
        <v>69</v>
      </c>
      <c r="C143" s="319"/>
      <c r="D143" s="319"/>
      <c r="E143" s="319"/>
      <c r="F143" s="319"/>
      <c r="G143" s="171">
        <f t="shared" si="133"/>
        <v>0</v>
      </c>
      <c r="H143" s="172" t="str">
        <f t="shared" si="134"/>
        <v>-</v>
      </c>
      <c r="I143" s="498"/>
      <c r="J143" s="319"/>
      <c r="K143" s="319"/>
      <c r="L143" s="171">
        <f t="shared" si="144"/>
        <v>0</v>
      </c>
      <c r="M143" s="172" t="str">
        <f t="shared" si="145"/>
        <v>-</v>
      </c>
      <c r="N143" s="338"/>
      <c r="O143" s="319"/>
      <c r="P143" s="319"/>
      <c r="Q143" s="171">
        <f t="shared" si="146"/>
        <v>0</v>
      </c>
      <c r="R143" s="172" t="str">
        <f t="shared" si="147"/>
        <v>-</v>
      </c>
      <c r="S143" s="338"/>
      <c r="T143" s="319"/>
      <c r="U143" s="319"/>
      <c r="V143" s="171">
        <f t="shared" si="148"/>
        <v>0</v>
      </c>
      <c r="W143" s="172" t="str">
        <f t="shared" si="149"/>
        <v>-</v>
      </c>
      <c r="X143" s="338"/>
    </row>
    <row r="144" spans="1:24" ht="17.100000000000001" customHeight="1" x14ac:dyDescent="0.2">
      <c r="A144" s="348" t="s">
        <v>70</v>
      </c>
      <c r="B144" s="349" t="s">
        <v>71</v>
      </c>
      <c r="C144" s="350">
        <f>C32</f>
        <v>11403795</v>
      </c>
      <c r="D144" s="350">
        <f>D32</f>
        <v>12362143</v>
      </c>
      <c r="E144" s="350">
        <f>E32</f>
        <v>2959107</v>
      </c>
      <c r="F144" s="350">
        <f>F32</f>
        <v>2884495</v>
      </c>
      <c r="G144" s="351">
        <f t="shared" si="133"/>
        <v>-74612</v>
      </c>
      <c r="H144" s="352">
        <f t="shared" si="134"/>
        <v>-2.5214363657684567E-2</v>
      </c>
      <c r="I144" s="493"/>
      <c r="J144" s="350">
        <f>J32</f>
        <v>5822690</v>
      </c>
      <c r="K144" s="350">
        <f>K32</f>
        <v>0</v>
      </c>
      <c r="L144" s="351">
        <f t="shared" si="144"/>
        <v>-5822690</v>
      </c>
      <c r="M144" s="352">
        <f t="shared" si="145"/>
        <v>-1</v>
      </c>
      <c r="N144" s="353"/>
      <c r="O144" s="350">
        <f>O32</f>
        <v>8630146</v>
      </c>
      <c r="P144" s="350">
        <f>P32</f>
        <v>0</v>
      </c>
      <c r="Q144" s="351">
        <f t="shared" si="146"/>
        <v>-8630146</v>
      </c>
      <c r="R144" s="352">
        <f t="shared" si="147"/>
        <v>-1</v>
      </c>
      <c r="S144" s="353"/>
      <c r="T144" s="350">
        <f>T32</f>
        <v>12362143</v>
      </c>
      <c r="U144" s="350">
        <f>U32</f>
        <v>0</v>
      </c>
      <c r="V144" s="351">
        <f t="shared" si="148"/>
        <v>-12362143</v>
      </c>
      <c r="W144" s="352">
        <f t="shared" si="149"/>
        <v>-1</v>
      </c>
      <c r="X144" s="353"/>
    </row>
    <row r="145" spans="1:24" ht="17.100000000000001" customHeight="1" x14ac:dyDescent="0.2">
      <c r="A145" s="348" t="s">
        <v>72</v>
      </c>
      <c r="B145" s="349" t="s">
        <v>292</v>
      </c>
      <c r="C145" s="350">
        <f>C3-C144</f>
        <v>852332</v>
      </c>
      <c r="D145" s="350">
        <f>D3-D144</f>
        <v>-60234</v>
      </c>
      <c r="E145" s="350">
        <f>E3-E144</f>
        <v>-104650</v>
      </c>
      <c r="F145" s="350">
        <f>F3-F144</f>
        <v>-147526</v>
      </c>
      <c r="G145" s="351">
        <f t="shared" si="133"/>
        <v>-42876</v>
      </c>
      <c r="H145" s="352">
        <f t="shared" si="134"/>
        <v>-0.40970855231724795</v>
      </c>
      <c r="I145" s="493"/>
      <c r="J145" s="350">
        <f>J3-J144</f>
        <v>131224</v>
      </c>
      <c r="K145" s="350">
        <f>K3-K144</f>
        <v>0</v>
      </c>
      <c r="L145" s="351">
        <f t="shared" si="144"/>
        <v>-131224</v>
      </c>
      <c r="M145" s="352">
        <f t="shared" si="145"/>
        <v>-1</v>
      </c>
      <c r="N145" s="353"/>
      <c r="O145" s="350">
        <f>O3-O144</f>
        <v>494589</v>
      </c>
      <c r="P145" s="350">
        <f>P3-P144</f>
        <v>0</v>
      </c>
      <c r="Q145" s="351">
        <f t="shared" si="146"/>
        <v>-494589</v>
      </c>
      <c r="R145" s="352">
        <f t="shared" si="147"/>
        <v>-1</v>
      </c>
      <c r="S145" s="353"/>
      <c r="T145" s="350">
        <f>T3-T144</f>
        <v>-60234</v>
      </c>
      <c r="U145" s="350">
        <f>U3-U144</f>
        <v>0</v>
      </c>
      <c r="V145" s="351">
        <f t="shared" si="148"/>
        <v>60234</v>
      </c>
      <c r="W145" s="352">
        <f t="shared" si="149"/>
        <v>1</v>
      </c>
      <c r="X145" s="353"/>
    </row>
    <row r="146" spans="1:24" s="2" customFormat="1" ht="17.100000000000001" customHeight="1" x14ac:dyDescent="0.2">
      <c r="A146" s="216">
        <v>5000</v>
      </c>
      <c r="B146" s="206" t="s">
        <v>566</v>
      </c>
      <c r="C146" s="213">
        <f t="shared" ref="C146:F146" si="152">C147+C148</f>
        <v>277163</v>
      </c>
      <c r="D146" s="213">
        <f t="shared" si="152"/>
        <v>299012</v>
      </c>
      <c r="E146" s="213">
        <f t="shared" si="152"/>
        <v>72647</v>
      </c>
      <c r="F146" s="213">
        <f t="shared" si="152"/>
        <v>72822</v>
      </c>
      <c r="G146" s="203">
        <f t="shared" si="133"/>
        <v>175</v>
      </c>
      <c r="H146" s="204">
        <f t="shared" si="134"/>
        <v>2.4089088331245611E-3</v>
      </c>
      <c r="I146" s="497"/>
      <c r="J146" s="213">
        <f t="shared" ref="J146:K146" si="153">J147+J148</f>
        <v>143270</v>
      </c>
      <c r="K146" s="213">
        <f t="shared" si="153"/>
        <v>0</v>
      </c>
      <c r="L146" s="203">
        <f t="shared" si="144"/>
        <v>-143270</v>
      </c>
      <c r="M146" s="204">
        <f t="shared" si="145"/>
        <v>-1</v>
      </c>
      <c r="N146" s="214"/>
      <c r="O146" s="213">
        <f t="shared" ref="O146:P146" si="154">O147+O148</f>
        <v>219826</v>
      </c>
      <c r="P146" s="213">
        <f t="shared" si="154"/>
        <v>0</v>
      </c>
      <c r="Q146" s="203">
        <f t="shared" si="146"/>
        <v>-219826</v>
      </c>
      <c r="R146" s="204">
        <f t="shared" si="147"/>
        <v>-1</v>
      </c>
      <c r="S146" s="214"/>
      <c r="T146" s="213">
        <f t="shared" ref="T146:U146" si="155">T147+T148</f>
        <v>299012</v>
      </c>
      <c r="U146" s="213">
        <f t="shared" si="155"/>
        <v>0</v>
      </c>
      <c r="V146" s="203">
        <f t="shared" si="148"/>
        <v>-299012</v>
      </c>
      <c r="W146" s="204">
        <f t="shared" si="149"/>
        <v>-1</v>
      </c>
      <c r="X146" s="214"/>
    </row>
    <row r="147" spans="1:24" ht="17.100000000000001" customHeight="1" x14ac:dyDescent="0.2">
      <c r="A147" s="15">
        <v>5100</v>
      </c>
      <c r="B147" s="169" t="s">
        <v>353</v>
      </c>
      <c r="C147" s="163">
        <v>5355</v>
      </c>
      <c r="D147" s="163">
        <v>3454</v>
      </c>
      <c r="E147" s="163">
        <v>965</v>
      </c>
      <c r="F147" s="163">
        <v>967</v>
      </c>
      <c r="G147" s="164">
        <f t="shared" si="133"/>
        <v>2</v>
      </c>
      <c r="H147" s="165">
        <f t="shared" si="134"/>
        <v>2.0725388601036268E-3</v>
      </c>
      <c r="I147" s="495"/>
      <c r="J147" s="163">
        <v>1895</v>
      </c>
      <c r="K147" s="163"/>
      <c r="L147" s="164">
        <f t="shared" si="144"/>
        <v>-1895</v>
      </c>
      <c r="M147" s="165">
        <f t="shared" si="145"/>
        <v>-1</v>
      </c>
      <c r="N147" s="192"/>
      <c r="O147" s="163">
        <v>2712</v>
      </c>
      <c r="P147" s="163"/>
      <c r="Q147" s="164">
        <f t="shared" si="146"/>
        <v>-2712</v>
      </c>
      <c r="R147" s="165">
        <f t="shared" si="147"/>
        <v>-1</v>
      </c>
      <c r="S147" s="192"/>
      <c r="T147" s="163">
        <f>D147</f>
        <v>3454</v>
      </c>
      <c r="U147" s="163"/>
      <c r="V147" s="164">
        <f t="shared" si="148"/>
        <v>-3454</v>
      </c>
      <c r="W147" s="165">
        <f t="shared" si="149"/>
        <v>-1</v>
      </c>
      <c r="X147" s="192"/>
    </row>
    <row r="148" spans="1:24" s="328" customFormat="1" ht="17.100000000000001" customHeight="1" x14ac:dyDescent="0.2">
      <c r="A148" s="339">
        <v>5200</v>
      </c>
      <c r="B148" s="169" t="s">
        <v>73</v>
      </c>
      <c r="C148" s="329">
        <f t="shared" ref="C148:F148" si="156">SUM(C149:C152)</f>
        <v>271808</v>
      </c>
      <c r="D148" s="329">
        <f t="shared" si="156"/>
        <v>295558</v>
      </c>
      <c r="E148" s="329">
        <f t="shared" si="156"/>
        <v>71682</v>
      </c>
      <c r="F148" s="329">
        <f t="shared" si="156"/>
        <v>71855</v>
      </c>
      <c r="G148" s="171">
        <f t="shared" si="133"/>
        <v>173</v>
      </c>
      <c r="H148" s="172">
        <f t="shared" si="134"/>
        <v>2.4134371250802153E-3</v>
      </c>
      <c r="I148" s="522"/>
      <c r="J148" s="329">
        <f t="shared" ref="J148:K148" si="157">SUM(J149:J152)</f>
        <v>141375</v>
      </c>
      <c r="K148" s="329">
        <f t="shared" si="157"/>
        <v>0</v>
      </c>
      <c r="L148" s="171">
        <f t="shared" si="144"/>
        <v>-141375</v>
      </c>
      <c r="M148" s="172">
        <f t="shared" si="145"/>
        <v>-1</v>
      </c>
      <c r="N148" s="513"/>
      <c r="O148" s="329">
        <f t="shared" ref="O148:P148" si="158">SUM(O149:O152)</f>
        <v>217114</v>
      </c>
      <c r="P148" s="329">
        <f t="shared" si="158"/>
        <v>0</v>
      </c>
      <c r="Q148" s="171">
        <f t="shared" si="146"/>
        <v>-217114</v>
      </c>
      <c r="R148" s="172">
        <f t="shared" si="147"/>
        <v>-1</v>
      </c>
      <c r="S148" s="513"/>
      <c r="T148" s="329">
        <f t="shared" ref="T148:U148" si="159">SUM(T149:T152)</f>
        <v>295558</v>
      </c>
      <c r="U148" s="329">
        <f t="shared" si="159"/>
        <v>0</v>
      </c>
      <c r="V148" s="171">
        <f t="shared" si="148"/>
        <v>-295558</v>
      </c>
      <c r="W148" s="172">
        <f t="shared" si="149"/>
        <v>-1</v>
      </c>
      <c r="X148" s="513"/>
    </row>
    <row r="149" spans="1:24" ht="17.100000000000001" customHeight="1" x14ac:dyDescent="0.2">
      <c r="A149" s="340">
        <v>5210</v>
      </c>
      <c r="B149" s="97" t="s">
        <v>74</v>
      </c>
      <c r="C149" s="163">
        <v>264073</v>
      </c>
      <c r="D149" s="163">
        <f>258610+21252</f>
        <v>279862</v>
      </c>
      <c r="E149" s="163">
        <v>67685</v>
      </c>
      <c r="F149" s="163">
        <f>67606+172+14</f>
        <v>67792</v>
      </c>
      <c r="G149" s="164">
        <f t="shared" si="133"/>
        <v>107</v>
      </c>
      <c r="H149" s="165">
        <f t="shared" si="134"/>
        <v>1.5808524783925536E-3</v>
      </c>
      <c r="I149" s="523"/>
      <c r="J149" s="163">
        <f>132782+599</f>
        <v>133381</v>
      </c>
      <c r="K149" s="163"/>
      <c r="L149" s="164">
        <f t="shared" si="144"/>
        <v>-133381</v>
      </c>
      <c r="M149" s="165">
        <f t="shared" si="145"/>
        <v>-1</v>
      </c>
      <c r="N149" s="514"/>
      <c r="O149" s="163">
        <f>195539+9764</f>
        <v>205303</v>
      </c>
      <c r="P149" s="163"/>
      <c r="Q149" s="164">
        <f t="shared" si="146"/>
        <v>-205303</v>
      </c>
      <c r="R149" s="165">
        <f t="shared" si="147"/>
        <v>-1</v>
      </c>
      <c r="S149" s="514"/>
      <c r="T149" s="163">
        <f>D149</f>
        <v>279862</v>
      </c>
      <c r="U149" s="163"/>
      <c r="V149" s="164">
        <f t="shared" si="148"/>
        <v>-279862</v>
      </c>
      <c r="W149" s="165">
        <f t="shared" si="149"/>
        <v>-1</v>
      </c>
      <c r="X149" s="514"/>
    </row>
    <row r="150" spans="1:24" ht="17.100000000000001" customHeight="1" x14ac:dyDescent="0.2">
      <c r="A150" s="340">
        <v>5220</v>
      </c>
      <c r="B150" s="97" t="s">
        <v>75</v>
      </c>
      <c r="C150" s="163">
        <v>4163</v>
      </c>
      <c r="D150" s="163">
        <v>4556</v>
      </c>
      <c r="E150" s="163">
        <v>1210</v>
      </c>
      <c r="F150" s="163">
        <v>1225</v>
      </c>
      <c r="G150" s="164">
        <f t="shared" si="133"/>
        <v>15</v>
      </c>
      <c r="H150" s="165">
        <f t="shared" si="134"/>
        <v>1.2396694214876033E-2</v>
      </c>
      <c r="I150" s="523"/>
      <c r="J150" s="163">
        <v>2420</v>
      </c>
      <c r="K150" s="163"/>
      <c r="L150" s="164">
        <f t="shared" si="144"/>
        <v>-2420</v>
      </c>
      <c r="M150" s="165">
        <f t="shared" si="145"/>
        <v>-1</v>
      </c>
      <c r="N150" s="514"/>
      <c r="O150" s="163">
        <v>3450</v>
      </c>
      <c r="P150" s="163"/>
      <c r="Q150" s="164">
        <f t="shared" si="146"/>
        <v>-3450</v>
      </c>
      <c r="R150" s="165">
        <f t="shared" si="147"/>
        <v>-1</v>
      </c>
      <c r="S150" s="514"/>
      <c r="T150" s="163">
        <f t="shared" ref="T150:T151" si="160">D150</f>
        <v>4556</v>
      </c>
      <c r="U150" s="163"/>
      <c r="V150" s="164">
        <f t="shared" si="148"/>
        <v>-4556</v>
      </c>
      <c r="W150" s="165">
        <f t="shared" si="149"/>
        <v>-1</v>
      </c>
      <c r="X150" s="514"/>
    </row>
    <row r="151" spans="1:24" ht="17.100000000000001" customHeight="1" x14ac:dyDescent="0.2">
      <c r="A151" s="340">
        <v>5230</v>
      </c>
      <c r="B151" s="97" t="s">
        <v>76</v>
      </c>
      <c r="C151" s="163">
        <v>3572</v>
      </c>
      <c r="D151" s="163">
        <v>11140</v>
      </c>
      <c r="E151" s="163">
        <v>2787</v>
      </c>
      <c r="F151" s="163">
        <v>2838</v>
      </c>
      <c r="G151" s="164">
        <f t="shared" si="133"/>
        <v>51</v>
      </c>
      <c r="H151" s="165">
        <f t="shared" si="134"/>
        <v>1.829924650161464E-2</v>
      </c>
      <c r="I151" s="523"/>
      <c r="J151" s="163">
        <v>5574</v>
      </c>
      <c r="K151" s="163"/>
      <c r="L151" s="164">
        <f t="shared" si="144"/>
        <v>-5574</v>
      </c>
      <c r="M151" s="165">
        <f t="shared" si="145"/>
        <v>-1</v>
      </c>
      <c r="N151" s="514"/>
      <c r="O151" s="163">
        <v>8361</v>
      </c>
      <c r="P151" s="163"/>
      <c r="Q151" s="164">
        <f t="shared" si="146"/>
        <v>-8361</v>
      </c>
      <c r="R151" s="165">
        <f t="shared" si="147"/>
        <v>-1</v>
      </c>
      <c r="S151" s="514"/>
      <c r="T151" s="163">
        <f t="shared" si="160"/>
        <v>11140</v>
      </c>
      <c r="U151" s="163"/>
      <c r="V151" s="164">
        <f t="shared" si="148"/>
        <v>-11140</v>
      </c>
      <c r="W151" s="165">
        <f t="shared" si="149"/>
        <v>-1</v>
      </c>
      <c r="X151" s="514"/>
    </row>
    <row r="152" spans="1:24" ht="17.100000000000001" customHeight="1" x14ac:dyDescent="0.2">
      <c r="A152" s="340">
        <v>5240</v>
      </c>
      <c r="B152" s="97" t="s">
        <v>296</v>
      </c>
      <c r="C152" s="163"/>
      <c r="D152" s="163"/>
      <c r="E152" s="163"/>
      <c r="F152" s="163"/>
      <c r="G152" s="164">
        <f t="shared" si="133"/>
        <v>0</v>
      </c>
      <c r="H152" s="165" t="str">
        <f t="shared" si="134"/>
        <v>-</v>
      </c>
      <c r="I152" s="524"/>
      <c r="J152" s="163"/>
      <c r="K152" s="163"/>
      <c r="L152" s="164">
        <f t="shared" si="144"/>
        <v>0</v>
      </c>
      <c r="M152" s="165" t="str">
        <f t="shared" si="145"/>
        <v>-</v>
      </c>
      <c r="N152" s="515"/>
      <c r="O152" s="163"/>
      <c r="P152" s="163"/>
      <c r="Q152" s="164">
        <f t="shared" si="146"/>
        <v>0</v>
      </c>
      <c r="R152" s="165" t="str">
        <f t="shared" si="147"/>
        <v>-</v>
      </c>
      <c r="S152" s="515"/>
      <c r="T152" s="163"/>
      <c r="U152" s="163"/>
      <c r="V152" s="164">
        <f t="shared" si="148"/>
        <v>0</v>
      </c>
      <c r="W152" s="165" t="str">
        <f t="shared" si="149"/>
        <v>-</v>
      </c>
      <c r="X152" s="515"/>
    </row>
    <row r="153" spans="1:24" ht="17.100000000000001" customHeight="1" x14ac:dyDescent="0.2">
      <c r="A153" s="348" t="s">
        <v>77</v>
      </c>
      <c r="B153" s="349" t="s">
        <v>293</v>
      </c>
      <c r="C153" s="350">
        <f t="shared" ref="C153:F153" si="161">C145-C146</f>
        <v>575169</v>
      </c>
      <c r="D153" s="350">
        <f t="shared" si="161"/>
        <v>-359246</v>
      </c>
      <c r="E153" s="350">
        <f t="shared" si="161"/>
        <v>-177297</v>
      </c>
      <c r="F153" s="350">
        <f t="shared" si="161"/>
        <v>-220348</v>
      </c>
      <c r="G153" s="351">
        <f t="shared" si="133"/>
        <v>-43051</v>
      </c>
      <c r="H153" s="352">
        <f t="shared" si="134"/>
        <v>-0.24281854740914963</v>
      </c>
      <c r="I153" s="493"/>
      <c r="J153" s="350">
        <f t="shared" ref="J153:K153" si="162">J145-J146</f>
        <v>-12046</v>
      </c>
      <c r="K153" s="350">
        <f t="shared" si="162"/>
        <v>0</v>
      </c>
      <c r="L153" s="351">
        <f t="shared" si="144"/>
        <v>12046</v>
      </c>
      <c r="M153" s="352">
        <f t="shared" si="145"/>
        <v>1</v>
      </c>
      <c r="N153" s="353"/>
      <c r="O153" s="350">
        <f t="shared" ref="O153:P153" si="163">O145-O146</f>
        <v>274763</v>
      </c>
      <c r="P153" s="350">
        <f t="shared" si="163"/>
        <v>0</v>
      </c>
      <c r="Q153" s="351">
        <f t="shared" si="146"/>
        <v>-274763</v>
      </c>
      <c r="R153" s="352">
        <f t="shared" si="147"/>
        <v>-1</v>
      </c>
      <c r="S153" s="353"/>
      <c r="T153" s="350">
        <f t="shared" ref="T153:U153" si="164">T145-T146</f>
        <v>-359246</v>
      </c>
      <c r="U153" s="350">
        <f t="shared" si="164"/>
        <v>0</v>
      </c>
      <c r="V153" s="351">
        <f t="shared" si="148"/>
        <v>359246</v>
      </c>
      <c r="W153" s="352">
        <f t="shared" si="149"/>
        <v>1</v>
      </c>
      <c r="X153" s="353"/>
    </row>
    <row r="154" spans="1:24" ht="17.100000000000001" customHeight="1" x14ac:dyDescent="0.2">
      <c r="A154" s="217" t="s">
        <v>136</v>
      </c>
      <c r="B154" s="206" t="s">
        <v>78</v>
      </c>
      <c r="C154" s="202">
        <f t="shared" ref="C154:F154" si="165">SUM(C155:C162)</f>
        <v>18029</v>
      </c>
      <c r="D154" s="202">
        <f t="shared" si="165"/>
        <v>17747</v>
      </c>
      <c r="E154" s="202">
        <f t="shared" si="165"/>
        <v>4437</v>
      </c>
      <c r="F154" s="202">
        <f t="shared" si="165"/>
        <v>4437</v>
      </c>
      <c r="G154" s="203">
        <f t="shared" si="133"/>
        <v>0</v>
      </c>
      <c r="H154" s="204">
        <f t="shared" si="134"/>
        <v>0</v>
      </c>
      <c r="I154" s="522"/>
      <c r="J154" s="202">
        <f t="shared" ref="J154:K154" si="166">SUM(J155:J162)</f>
        <v>8874</v>
      </c>
      <c r="K154" s="202">
        <f t="shared" si="166"/>
        <v>0</v>
      </c>
      <c r="L154" s="203">
        <f t="shared" si="144"/>
        <v>-8874</v>
      </c>
      <c r="M154" s="204">
        <f t="shared" si="145"/>
        <v>-1</v>
      </c>
      <c r="N154" s="513"/>
      <c r="O154" s="202">
        <f t="shared" ref="O154:P154" si="167">SUM(O155:O162)</f>
        <v>13310</v>
      </c>
      <c r="P154" s="202">
        <f t="shared" si="167"/>
        <v>0</v>
      </c>
      <c r="Q154" s="203">
        <f t="shared" si="146"/>
        <v>-13310</v>
      </c>
      <c r="R154" s="204">
        <f t="shared" si="147"/>
        <v>-1</v>
      </c>
      <c r="S154" s="513"/>
      <c r="T154" s="202">
        <f t="shared" ref="T154:U154" si="168">SUM(T155:T162)</f>
        <v>17747</v>
      </c>
      <c r="U154" s="202">
        <f t="shared" si="168"/>
        <v>0</v>
      </c>
      <c r="V154" s="203">
        <f t="shared" si="148"/>
        <v>-17747</v>
      </c>
      <c r="W154" s="204">
        <f t="shared" si="149"/>
        <v>-1</v>
      </c>
      <c r="X154" s="513"/>
    </row>
    <row r="155" spans="1:24" ht="17.100000000000001" customHeight="1" x14ac:dyDescent="0.2">
      <c r="A155" s="199" t="s">
        <v>137</v>
      </c>
      <c r="B155" s="97" t="s">
        <v>79</v>
      </c>
      <c r="C155" s="163"/>
      <c r="D155" s="163"/>
      <c r="E155" s="163"/>
      <c r="F155" s="163"/>
      <c r="G155" s="164">
        <f t="shared" si="133"/>
        <v>0</v>
      </c>
      <c r="H155" s="165" t="str">
        <f t="shared" si="134"/>
        <v>-</v>
      </c>
      <c r="I155" s="523"/>
      <c r="J155" s="163"/>
      <c r="K155" s="163"/>
      <c r="L155" s="164">
        <f t="shared" si="144"/>
        <v>0</v>
      </c>
      <c r="M155" s="165" t="str">
        <f t="shared" si="145"/>
        <v>-</v>
      </c>
      <c r="N155" s="514"/>
      <c r="O155" s="163"/>
      <c r="P155" s="163"/>
      <c r="Q155" s="164">
        <f t="shared" si="146"/>
        <v>0</v>
      </c>
      <c r="R155" s="165" t="str">
        <f t="shared" si="147"/>
        <v>-</v>
      </c>
      <c r="S155" s="514"/>
      <c r="T155" s="163"/>
      <c r="U155" s="163"/>
      <c r="V155" s="164">
        <f t="shared" si="148"/>
        <v>0</v>
      </c>
      <c r="W155" s="165" t="str">
        <f t="shared" si="149"/>
        <v>-</v>
      </c>
      <c r="X155" s="514"/>
    </row>
    <row r="156" spans="1:24" ht="17.100000000000001" customHeight="1" x14ac:dyDescent="0.2">
      <c r="A156" s="199" t="s">
        <v>138</v>
      </c>
      <c r="B156" s="97" t="s">
        <v>80</v>
      </c>
      <c r="C156" s="163"/>
      <c r="D156" s="163"/>
      <c r="E156" s="163"/>
      <c r="F156" s="163"/>
      <c r="G156" s="164">
        <f t="shared" si="133"/>
        <v>0</v>
      </c>
      <c r="H156" s="165" t="str">
        <f t="shared" si="134"/>
        <v>-</v>
      </c>
      <c r="I156" s="523"/>
      <c r="J156" s="163"/>
      <c r="K156" s="163"/>
      <c r="L156" s="164">
        <f t="shared" si="144"/>
        <v>0</v>
      </c>
      <c r="M156" s="165" t="str">
        <f t="shared" si="145"/>
        <v>-</v>
      </c>
      <c r="N156" s="514"/>
      <c r="O156" s="163"/>
      <c r="P156" s="163"/>
      <c r="Q156" s="164">
        <f t="shared" si="146"/>
        <v>0</v>
      </c>
      <c r="R156" s="165" t="str">
        <f t="shared" si="147"/>
        <v>-</v>
      </c>
      <c r="S156" s="514"/>
      <c r="T156" s="163"/>
      <c r="U156" s="163"/>
      <c r="V156" s="164">
        <f t="shared" si="148"/>
        <v>0</v>
      </c>
      <c r="W156" s="165" t="str">
        <f t="shared" si="149"/>
        <v>-</v>
      </c>
      <c r="X156" s="514"/>
    </row>
    <row r="157" spans="1:24" ht="17.100000000000001" customHeight="1" x14ac:dyDescent="0.2">
      <c r="A157" s="199" t="s">
        <v>139</v>
      </c>
      <c r="B157" s="97" t="s">
        <v>294</v>
      </c>
      <c r="C157" s="163"/>
      <c r="D157" s="163"/>
      <c r="E157" s="163"/>
      <c r="F157" s="163"/>
      <c r="G157" s="164">
        <f t="shared" si="133"/>
        <v>0</v>
      </c>
      <c r="H157" s="165" t="str">
        <f t="shared" si="134"/>
        <v>-</v>
      </c>
      <c r="I157" s="523"/>
      <c r="J157" s="163"/>
      <c r="K157" s="163"/>
      <c r="L157" s="164">
        <f t="shared" si="144"/>
        <v>0</v>
      </c>
      <c r="M157" s="165" t="str">
        <f t="shared" si="145"/>
        <v>-</v>
      </c>
      <c r="N157" s="514"/>
      <c r="O157" s="163"/>
      <c r="P157" s="163"/>
      <c r="Q157" s="164">
        <f t="shared" si="146"/>
        <v>0</v>
      </c>
      <c r="R157" s="165" t="str">
        <f t="shared" si="147"/>
        <v>-</v>
      </c>
      <c r="S157" s="514"/>
      <c r="T157" s="163"/>
      <c r="U157" s="163"/>
      <c r="V157" s="164">
        <f t="shared" si="148"/>
        <v>0</v>
      </c>
      <c r="W157" s="165" t="str">
        <f t="shared" si="149"/>
        <v>-</v>
      </c>
      <c r="X157" s="514"/>
    </row>
    <row r="158" spans="1:24" ht="17.100000000000001" customHeight="1" x14ac:dyDescent="0.2">
      <c r="A158" s="199" t="s">
        <v>140</v>
      </c>
      <c r="B158" s="97" t="s">
        <v>81</v>
      </c>
      <c r="C158" s="163"/>
      <c r="D158" s="163"/>
      <c r="E158" s="163"/>
      <c r="F158" s="163"/>
      <c r="G158" s="164">
        <f t="shared" si="133"/>
        <v>0</v>
      </c>
      <c r="H158" s="165" t="str">
        <f t="shared" si="134"/>
        <v>-</v>
      </c>
      <c r="I158" s="523"/>
      <c r="J158" s="163"/>
      <c r="K158" s="163"/>
      <c r="L158" s="164">
        <f t="shared" si="144"/>
        <v>0</v>
      </c>
      <c r="M158" s="165" t="str">
        <f t="shared" si="145"/>
        <v>-</v>
      </c>
      <c r="N158" s="514"/>
      <c r="O158" s="163"/>
      <c r="P158" s="163"/>
      <c r="Q158" s="164">
        <f t="shared" si="146"/>
        <v>0</v>
      </c>
      <c r="R158" s="165" t="str">
        <f t="shared" si="147"/>
        <v>-</v>
      </c>
      <c r="S158" s="514"/>
      <c r="T158" s="163"/>
      <c r="U158" s="163"/>
      <c r="V158" s="164">
        <f t="shared" si="148"/>
        <v>0</v>
      </c>
      <c r="W158" s="165" t="str">
        <f t="shared" si="149"/>
        <v>-</v>
      </c>
      <c r="X158" s="514"/>
    </row>
    <row r="159" spans="1:24" ht="17.100000000000001" customHeight="1" x14ac:dyDescent="0.2">
      <c r="A159" s="199" t="s">
        <v>141</v>
      </c>
      <c r="B159" s="97" t="s">
        <v>82</v>
      </c>
      <c r="C159" s="163"/>
      <c r="D159" s="163"/>
      <c r="E159" s="163"/>
      <c r="F159" s="163"/>
      <c r="G159" s="164">
        <f t="shared" si="133"/>
        <v>0</v>
      </c>
      <c r="H159" s="165" t="str">
        <f t="shared" si="134"/>
        <v>-</v>
      </c>
      <c r="I159" s="523"/>
      <c r="J159" s="163"/>
      <c r="K159" s="163"/>
      <c r="L159" s="164">
        <f t="shared" si="144"/>
        <v>0</v>
      </c>
      <c r="M159" s="165" t="str">
        <f t="shared" si="145"/>
        <v>-</v>
      </c>
      <c r="N159" s="514"/>
      <c r="O159" s="163"/>
      <c r="P159" s="163"/>
      <c r="Q159" s="164">
        <f t="shared" si="146"/>
        <v>0</v>
      </c>
      <c r="R159" s="165" t="str">
        <f t="shared" si="147"/>
        <v>-</v>
      </c>
      <c r="S159" s="514"/>
      <c r="T159" s="163"/>
      <c r="U159" s="163"/>
      <c r="V159" s="164">
        <f t="shared" si="148"/>
        <v>0</v>
      </c>
      <c r="W159" s="165" t="str">
        <f t="shared" si="149"/>
        <v>-</v>
      </c>
      <c r="X159" s="514"/>
    </row>
    <row r="160" spans="1:24" ht="17.100000000000001" customHeight="1" x14ac:dyDescent="0.2">
      <c r="A160" s="199" t="s">
        <v>142</v>
      </c>
      <c r="B160" s="97" t="s">
        <v>83</v>
      </c>
      <c r="C160" s="163"/>
      <c r="D160" s="163"/>
      <c r="E160" s="163"/>
      <c r="F160" s="163"/>
      <c r="G160" s="164">
        <f t="shared" si="133"/>
        <v>0</v>
      </c>
      <c r="H160" s="165" t="str">
        <f t="shared" si="134"/>
        <v>-</v>
      </c>
      <c r="I160" s="523"/>
      <c r="J160" s="163"/>
      <c r="K160" s="163"/>
      <c r="L160" s="164">
        <f t="shared" si="144"/>
        <v>0</v>
      </c>
      <c r="M160" s="165" t="str">
        <f t="shared" si="145"/>
        <v>-</v>
      </c>
      <c r="N160" s="514"/>
      <c r="O160" s="163"/>
      <c r="P160" s="163"/>
      <c r="Q160" s="164">
        <f t="shared" si="146"/>
        <v>0</v>
      </c>
      <c r="R160" s="165" t="str">
        <f t="shared" si="147"/>
        <v>-</v>
      </c>
      <c r="S160" s="514"/>
      <c r="T160" s="163"/>
      <c r="U160" s="163"/>
      <c r="V160" s="164">
        <f t="shared" si="148"/>
        <v>0</v>
      </c>
      <c r="W160" s="165" t="str">
        <f t="shared" si="149"/>
        <v>-</v>
      </c>
      <c r="X160" s="514"/>
    </row>
    <row r="161" spans="1:24" ht="17.100000000000001" customHeight="1" x14ac:dyDescent="0.2">
      <c r="A161" s="199" t="s">
        <v>143</v>
      </c>
      <c r="B161" s="97" t="s">
        <v>119</v>
      </c>
      <c r="C161" s="163"/>
      <c r="D161" s="163"/>
      <c r="E161" s="163"/>
      <c r="F161" s="163"/>
      <c r="G161" s="164">
        <f t="shared" si="133"/>
        <v>0</v>
      </c>
      <c r="H161" s="165" t="str">
        <f t="shared" si="134"/>
        <v>-</v>
      </c>
      <c r="I161" s="524"/>
      <c r="J161" s="163"/>
      <c r="K161" s="163"/>
      <c r="L161" s="164">
        <f t="shared" si="144"/>
        <v>0</v>
      </c>
      <c r="M161" s="165" t="str">
        <f t="shared" si="145"/>
        <v>-</v>
      </c>
      <c r="N161" s="515"/>
      <c r="O161" s="163"/>
      <c r="P161" s="163"/>
      <c r="Q161" s="164">
        <f t="shared" si="146"/>
        <v>0</v>
      </c>
      <c r="R161" s="165" t="str">
        <f t="shared" si="147"/>
        <v>-</v>
      </c>
      <c r="S161" s="515"/>
      <c r="T161" s="163"/>
      <c r="U161" s="163"/>
      <c r="V161" s="164">
        <f t="shared" si="148"/>
        <v>0</v>
      </c>
      <c r="W161" s="165" t="str">
        <f t="shared" si="149"/>
        <v>-</v>
      </c>
      <c r="X161" s="515"/>
    </row>
    <row r="162" spans="1:24" ht="17.100000000000001" customHeight="1" x14ac:dyDescent="0.2">
      <c r="A162" s="199" t="s">
        <v>144</v>
      </c>
      <c r="B162" s="97" t="s">
        <v>84</v>
      </c>
      <c r="C162" s="163">
        <v>18029</v>
      </c>
      <c r="D162" s="163">
        <v>17747</v>
      </c>
      <c r="E162" s="163">
        <v>4437</v>
      </c>
      <c r="F162" s="163">
        <v>4437</v>
      </c>
      <c r="G162" s="164">
        <f t="shared" si="133"/>
        <v>0</v>
      </c>
      <c r="H162" s="165">
        <f t="shared" si="134"/>
        <v>0</v>
      </c>
      <c r="I162" s="495"/>
      <c r="J162" s="163">
        <v>8874</v>
      </c>
      <c r="K162" s="163"/>
      <c r="L162" s="164">
        <f t="shared" si="144"/>
        <v>-8874</v>
      </c>
      <c r="M162" s="165">
        <f t="shared" si="145"/>
        <v>-1</v>
      </c>
      <c r="N162" s="192"/>
      <c r="O162" s="163">
        <v>13310</v>
      </c>
      <c r="P162" s="163"/>
      <c r="Q162" s="164">
        <f t="shared" si="146"/>
        <v>-13310</v>
      </c>
      <c r="R162" s="165">
        <f t="shared" si="147"/>
        <v>-1</v>
      </c>
      <c r="S162" s="192"/>
      <c r="T162" s="163">
        <f>D162</f>
        <v>17747</v>
      </c>
      <c r="U162" s="163"/>
      <c r="V162" s="164">
        <f t="shared" si="148"/>
        <v>-17747</v>
      </c>
      <c r="W162" s="165">
        <f t="shared" si="149"/>
        <v>-1</v>
      </c>
      <c r="X162" s="192"/>
    </row>
    <row r="163" spans="1:24" ht="17.100000000000001" customHeight="1" x14ac:dyDescent="0.2">
      <c r="A163" s="348" t="s">
        <v>85</v>
      </c>
      <c r="B163" s="349" t="s">
        <v>86</v>
      </c>
      <c r="C163" s="350">
        <f>C3+C154</f>
        <v>12274156</v>
      </c>
      <c r="D163" s="350">
        <f>D3+D154</f>
        <v>12319656</v>
      </c>
      <c r="E163" s="350">
        <f>E3+E154</f>
        <v>2858894</v>
      </c>
      <c r="F163" s="350">
        <f>F3+F154</f>
        <v>2741406</v>
      </c>
      <c r="G163" s="351">
        <f t="shared" si="133"/>
        <v>-117488</v>
      </c>
      <c r="H163" s="352">
        <f t="shared" si="134"/>
        <v>-4.10956124990993E-2</v>
      </c>
      <c r="I163" s="493"/>
      <c r="J163" s="350">
        <f>J3+J154</f>
        <v>5962788</v>
      </c>
      <c r="K163" s="350">
        <f>K3+K154</f>
        <v>0</v>
      </c>
      <c r="L163" s="351">
        <f t="shared" si="144"/>
        <v>-5962788</v>
      </c>
      <c r="M163" s="352">
        <f t="shared" si="145"/>
        <v>-1</v>
      </c>
      <c r="N163" s="353"/>
      <c r="O163" s="350">
        <f>O3+O154</f>
        <v>9138045</v>
      </c>
      <c r="P163" s="350">
        <f>P3+P154</f>
        <v>0</v>
      </c>
      <c r="Q163" s="351">
        <f t="shared" si="146"/>
        <v>-9138045</v>
      </c>
      <c r="R163" s="352">
        <f t="shared" si="147"/>
        <v>-1</v>
      </c>
      <c r="S163" s="353"/>
      <c r="T163" s="350">
        <f>T3+T154</f>
        <v>12319656</v>
      </c>
      <c r="U163" s="350">
        <f>U3+U154</f>
        <v>0</v>
      </c>
      <c r="V163" s="351">
        <f t="shared" si="148"/>
        <v>-12319656</v>
      </c>
      <c r="W163" s="352">
        <f t="shared" si="149"/>
        <v>-1</v>
      </c>
      <c r="X163" s="353"/>
    </row>
    <row r="164" spans="1:24" ht="17.100000000000001" customHeight="1" x14ac:dyDescent="0.2">
      <c r="A164" s="209">
        <v>8000</v>
      </c>
      <c r="B164" s="206" t="s">
        <v>87</v>
      </c>
      <c r="C164" s="202">
        <f t="shared" ref="C164:E164" si="169">SUM(C165:C171)</f>
        <v>57166</v>
      </c>
      <c r="D164" s="202">
        <f t="shared" si="169"/>
        <v>66368</v>
      </c>
      <c r="E164" s="202">
        <f t="shared" si="169"/>
        <v>13942</v>
      </c>
      <c r="F164" s="202">
        <f>SUM(F165:F171)</f>
        <v>13982</v>
      </c>
      <c r="G164" s="203">
        <f t="shared" si="133"/>
        <v>40</v>
      </c>
      <c r="H164" s="204">
        <f t="shared" si="134"/>
        <v>2.8690288337397791E-3</v>
      </c>
      <c r="I164" s="522"/>
      <c r="J164" s="202">
        <f t="shared" ref="J164" si="170">SUM(J165:J171)</f>
        <v>27684</v>
      </c>
      <c r="K164" s="202">
        <f>SUM(K165:K171)</f>
        <v>0</v>
      </c>
      <c r="L164" s="203">
        <f t="shared" si="144"/>
        <v>-27684</v>
      </c>
      <c r="M164" s="204">
        <f t="shared" si="145"/>
        <v>-1</v>
      </c>
      <c r="N164" s="513"/>
      <c r="O164" s="202">
        <f t="shared" ref="O164" si="171">SUM(O165:O171)</f>
        <v>41026</v>
      </c>
      <c r="P164" s="202">
        <f>SUM(P165:P171)</f>
        <v>0</v>
      </c>
      <c r="Q164" s="203">
        <f t="shared" si="146"/>
        <v>-41026</v>
      </c>
      <c r="R164" s="204">
        <f t="shared" si="147"/>
        <v>-1</v>
      </c>
      <c r="S164" s="513"/>
      <c r="T164" s="202">
        <f t="shared" ref="T164" si="172">SUM(T165:T171)</f>
        <v>66368</v>
      </c>
      <c r="U164" s="202">
        <f>SUM(U165:U171)</f>
        <v>0</v>
      </c>
      <c r="V164" s="203">
        <f t="shared" si="148"/>
        <v>-66368</v>
      </c>
      <c r="W164" s="204">
        <f t="shared" si="149"/>
        <v>-1</v>
      </c>
      <c r="X164" s="513"/>
    </row>
    <row r="165" spans="1:24" ht="17.100000000000001" customHeight="1" x14ac:dyDescent="0.2">
      <c r="A165" s="116">
        <v>8100</v>
      </c>
      <c r="B165" s="97" t="s">
        <v>145</v>
      </c>
      <c r="C165" s="163"/>
      <c r="D165" s="163"/>
      <c r="E165" s="163"/>
      <c r="F165" s="163"/>
      <c r="G165" s="164">
        <f t="shared" si="133"/>
        <v>0</v>
      </c>
      <c r="H165" s="165" t="str">
        <f t="shared" si="134"/>
        <v>-</v>
      </c>
      <c r="I165" s="523"/>
      <c r="J165" s="163"/>
      <c r="K165" s="163"/>
      <c r="L165" s="164">
        <f t="shared" si="144"/>
        <v>0</v>
      </c>
      <c r="M165" s="165" t="str">
        <f t="shared" si="145"/>
        <v>-</v>
      </c>
      <c r="N165" s="514"/>
      <c r="O165" s="163"/>
      <c r="P165" s="163"/>
      <c r="Q165" s="164">
        <f t="shared" si="146"/>
        <v>0</v>
      </c>
      <c r="R165" s="165" t="str">
        <f t="shared" si="147"/>
        <v>-</v>
      </c>
      <c r="S165" s="514"/>
      <c r="T165" s="163"/>
      <c r="U165" s="163"/>
      <c r="V165" s="164">
        <f t="shared" si="148"/>
        <v>0</v>
      </c>
      <c r="W165" s="165" t="str">
        <f t="shared" si="149"/>
        <v>-</v>
      </c>
      <c r="X165" s="514"/>
    </row>
    <row r="166" spans="1:24" ht="17.100000000000001" customHeight="1" x14ac:dyDescent="0.2">
      <c r="A166" s="116">
        <v>8200</v>
      </c>
      <c r="B166" s="97" t="s">
        <v>90</v>
      </c>
      <c r="C166" s="163"/>
      <c r="D166" s="163"/>
      <c r="E166" s="163"/>
      <c r="F166" s="163"/>
      <c r="G166" s="164">
        <f t="shared" si="133"/>
        <v>0</v>
      </c>
      <c r="H166" s="165" t="str">
        <f t="shared" si="134"/>
        <v>-</v>
      </c>
      <c r="I166" s="523"/>
      <c r="J166" s="163"/>
      <c r="K166" s="163"/>
      <c r="L166" s="164">
        <f t="shared" si="144"/>
        <v>0</v>
      </c>
      <c r="M166" s="165" t="str">
        <f t="shared" si="145"/>
        <v>-</v>
      </c>
      <c r="N166" s="514"/>
      <c r="O166" s="163"/>
      <c r="P166" s="163"/>
      <c r="Q166" s="164">
        <f t="shared" si="146"/>
        <v>0</v>
      </c>
      <c r="R166" s="165" t="str">
        <f t="shared" si="147"/>
        <v>-</v>
      </c>
      <c r="S166" s="514"/>
      <c r="T166" s="163"/>
      <c r="U166" s="163"/>
      <c r="V166" s="164">
        <f t="shared" si="148"/>
        <v>0</v>
      </c>
      <c r="W166" s="165" t="str">
        <f t="shared" si="149"/>
        <v>-</v>
      </c>
      <c r="X166" s="514"/>
    </row>
    <row r="167" spans="1:24" ht="17.100000000000001" customHeight="1" x14ac:dyDescent="0.2">
      <c r="A167" s="116">
        <v>8300</v>
      </c>
      <c r="B167" s="97" t="s">
        <v>89</v>
      </c>
      <c r="C167" s="163"/>
      <c r="D167" s="163"/>
      <c r="E167" s="163"/>
      <c r="F167" s="163"/>
      <c r="G167" s="164">
        <f t="shared" si="133"/>
        <v>0</v>
      </c>
      <c r="H167" s="165" t="str">
        <f t="shared" si="134"/>
        <v>-</v>
      </c>
      <c r="I167" s="523"/>
      <c r="J167" s="163"/>
      <c r="K167" s="163"/>
      <c r="L167" s="164">
        <f t="shared" si="144"/>
        <v>0</v>
      </c>
      <c r="M167" s="165" t="str">
        <f t="shared" si="145"/>
        <v>-</v>
      </c>
      <c r="N167" s="514"/>
      <c r="O167" s="163"/>
      <c r="P167" s="163"/>
      <c r="Q167" s="164">
        <f t="shared" si="146"/>
        <v>0</v>
      </c>
      <c r="R167" s="165" t="str">
        <f t="shared" si="147"/>
        <v>-</v>
      </c>
      <c r="S167" s="514"/>
      <c r="T167" s="163"/>
      <c r="U167" s="163"/>
      <c r="V167" s="164">
        <f t="shared" si="148"/>
        <v>0</v>
      </c>
      <c r="W167" s="165" t="str">
        <f t="shared" si="149"/>
        <v>-</v>
      </c>
      <c r="X167" s="514"/>
    </row>
    <row r="168" spans="1:24" ht="17.100000000000001" customHeight="1" x14ac:dyDescent="0.2">
      <c r="A168" s="116">
        <v>8600</v>
      </c>
      <c r="B168" s="97" t="s">
        <v>146</v>
      </c>
      <c r="C168" s="163">
        <v>11518</v>
      </c>
      <c r="D168" s="163">
        <v>12000</v>
      </c>
      <c r="E168" s="163">
        <v>0</v>
      </c>
      <c r="F168" s="163"/>
      <c r="G168" s="164">
        <f t="shared" si="133"/>
        <v>0</v>
      </c>
      <c r="H168" s="165" t="str">
        <f t="shared" si="134"/>
        <v>-</v>
      </c>
      <c r="I168" s="523"/>
      <c r="J168" s="163">
        <v>0</v>
      </c>
      <c r="K168" s="163"/>
      <c r="L168" s="164">
        <f t="shared" si="144"/>
        <v>0</v>
      </c>
      <c r="M168" s="165" t="str">
        <f t="shared" si="145"/>
        <v>-</v>
      </c>
      <c r="N168" s="514"/>
      <c r="O168" s="163">
        <v>0</v>
      </c>
      <c r="P168" s="163"/>
      <c r="Q168" s="164">
        <f t="shared" si="146"/>
        <v>0</v>
      </c>
      <c r="R168" s="165" t="str">
        <f t="shared" si="147"/>
        <v>-</v>
      </c>
      <c r="S168" s="514"/>
      <c r="T168" s="163">
        <f>D168</f>
        <v>12000</v>
      </c>
      <c r="U168" s="163"/>
      <c r="V168" s="164">
        <f t="shared" si="148"/>
        <v>-12000</v>
      </c>
      <c r="W168" s="165">
        <f t="shared" si="149"/>
        <v>-1</v>
      </c>
      <c r="X168" s="514"/>
    </row>
    <row r="169" spans="1:24" ht="17.100000000000001" customHeight="1" x14ac:dyDescent="0.2">
      <c r="A169" s="116">
        <v>8700</v>
      </c>
      <c r="B169" s="97" t="s">
        <v>295</v>
      </c>
      <c r="C169" s="163">
        <v>-3676</v>
      </c>
      <c r="D169" s="163">
        <v>0</v>
      </c>
      <c r="E169" s="163">
        <v>0</v>
      </c>
      <c r="F169" s="163"/>
      <c r="G169" s="164">
        <f t="shared" si="133"/>
        <v>0</v>
      </c>
      <c r="H169" s="165" t="str">
        <f t="shared" si="134"/>
        <v>-</v>
      </c>
      <c r="I169" s="523"/>
      <c r="J169" s="163">
        <v>0</v>
      </c>
      <c r="K169" s="163"/>
      <c r="L169" s="164">
        <f t="shared" si="144"/>
        <v>0</v>
      </c>
      <c r="M169" s="165" t="str">
        <f t="shared" si="145"/>
        <v>-</v>
      </c>
      <c r="N169" s="514"/>
      <c r="O169" s="163">
        <v>0</v>
      </c>
      <c r="P169" s="163"/>
      <c r="Q169" s="164">
        <f t="shared" si="146"/>
        <v>0</v>
      </c>
      <c r="R169" s="165" t="str">
        <f t="shared" si="147"/>
        <v>-</v>
      </c>
      <c r="S169" s="514"/>
      <c r="T169" s="163">
        <f>D169</f>
        <v>0</v>
      </c>
      <c r="U169" s="163"/>
      <c r="V169" s="164">
        <f t="shared" si="148"/>
        <v>0</v>
      </c>
      <c r="W169" s="165" t="str">
        <f t="shared" si="149"/>
        <v>-</v>
      </c>
      <c r="X169" s="514"/>
    </row>
    <row r="170" spans="1:24" ht="17.100000000000001" customHeight="1" x14ac:dyDescent="0.2">
      <c r="A170" s="116">
        <v>8800</v>
      </c>
      <c r="B170" s="200" t="s">
        <v>88</v>
      </c>
      <c r="C170" s="167"/>
      <c r="D170" s="163"/>
      <c r="E170" s="163"/>
      <c r="F170" s="163"/>
      <c r="G170" s="164">
        <f t="shared" si="133"/>
        <v>0</v>
      </c>
      <c r="H170" s="165" t="str">
        <f t="shared" si="134"/>
        <v>-</v>
      </c>
      <c r="I170" s="523"/>
      <c r="J170" s="163"/>
      <c r="K170" s="163"/>
      <c r="L170" s="164">
        <f t="shared" si="144"/>
        <v>0</v>
      </c>
      <c r="M170" s="165" t="str">
        <f t="shared" si="145"/>
        <v>-</v>
      </c>
      <c r="N170" s="514"/>
      <c r="O170" s="163"/>
      <c r="P170" s="163"/>
      <c r="Q170" s="164">
        <f t="shared" si="146"/>
        <v>0</v>
      </c>
      <c r="R170" s="165" t="str">
        <f t="shared" si="147"/>
        <v>-</v>
      </c>
      <c r="S170" s="514"/>
      <c r="T170" s="163"/>
      <c r="U170" s="163"/>
      <c r="V170" s="164">
        <f t="shared" si="148"/>
        <v>0</v>
      </c>
      <c r="W170" s="165" t="str">
        <f t="shared" si="149"/>
        <v>-</v>
      </c>
      <c r="X170" s="514"/>
    </row>
    <row r="171" spans="1:24" ht="34.5" customHeight="1" x14ac:dyDescent="0.2">
      <c r="A171" s="55">
        <v>8900</v>
      </c>
      <c r="B171" s="201" t="s">
        <v>147</v>
      </c>
      <c r="C171" s="167">
        <v>49324</v>
      </c>
      <c r="D171" s="163">
        <v>54368</v>
      </c>
      <c r="E171" s="163">
        <v>13942</v>
      </c>
      <c r="F171" s="163">
        <v>13982</v>
      </c>
      <c r="G171" s="164">
        <f t="shared" si="133"/>
        <v>40</v>
      </c>
      <c r="H171" s="165">
        <f t="shared" si="134"/>
        <v>2.8690288337397791E-3</v>
      </c>
      <c r="I171" s="524"/>
      <c r="J171" s="163">
        <v>27684</v>
      </c>
      <c r="K171" s="163"/>
      <c r="L171" s="164">
        <f t="shared" si="144"/>
        <v>-27684</v>
      </c>
      <c r="M171" s="165">
        <f t="shared" si="145"/>
        <v>-1</v>
      </c>
      <c r="N171" s="515"/>
      <c r="O171" s="163">
        <v>41026</v>
      </c>
      <c r="P171" s="163"/>
      <c r="Q171" s="164">
        <f t="shared" si="146"/>
        <v>-41026</v>
      </c>
      <c r="R171" s="165">
        <f t="shared" si="147"/>
        <v>-1</v>
      </c>
      <c r="S171" s="515"/>
      <c r="T171" s="163">
        <f>D171</f>
        <v>54368</v>
      </c>
      <c r="U171" s="163"/>
      <c r="V171" s="164">
        <f t="shared" si="148"/>
        <v>-54368</v>
      </c>
      <c r="W171" s="165">
        <f t="shared" si="149"/>
        <v>-1</v>
      </c>
      <c r="X171" s="515"/>
    </row>
    <row r="172" spans="1:24" ht="17.100000000000001" customHeight="1" x14ac:dyDescent="0.2">
      <c r="A172" s="348" t="s">
        <v>91</v>
      </c>
      <c r="B172" s="349" t="s">
        <v>92</v>
      </c>
      <c r="C172" s="350">
        <f>C144+C146+C164</f>
        <v>11738124</v>
      </c>
      <c r="D172" s="350">
        <f t="shared" ref="D172:F172" si="173">D144+D146+D164</f>
        <v>12727523</v>
      </c>
      <c r="E172" s="350">
        <f t="shared" si="173"/>
        <v>3045696</v>
      </c>
      <c r="F172" s="350">
        <f t="shared" si="173"/>
        <v>2971299</v>
      </c>
      <c r="G172" s="351">
        <f t="shared" si="133"/>
        <v>-74397</v>
      </c>
      <c r="H172" s="352">
        <f t="shared" si="134"/>
        <v>-2.4426929017209859E-2</v>
      </c>
      <c r="I172" s="493"/>
      <c r="J172" s="350">
        <f t="shared" ref="J172:K172" si="174">J144+J146+J164</f>
        <v>5993644</v>
      </c>
      <c r="K172" s="350">
        <f t="shared" si="174"/>
        <v>0</v>
      </c>
      <c r="L172" s="351">
        <f t="shared" si="144"/>
        <v>-5993644</v>
      </c>
      <c r="M172" s="352">
        <f t="shared" si="145"/>
        <v>-1</v>
      </c>
      <c r="N172" s="353"/>
      <c r="O172" s="350">
        <f t="shared" ref="O172:P172" si="175">O144+O146+O164</f>
        <v>8890998</v>
      </c>
      <c r="P172" s="350">
        <f t="shared" si="175"/>
        <v>0</v>
      </c>
      <c r="Q172" s="351">
        <f t="shared" si="146"/>
        <v>-8890998</v>
      </c>
      <c r="R172" s="352">
        <f t="shared" si="147"/>
        <v>-1</v>
      </c>
      <c r="S172" s="353"/>
      <c r="T172" s="350">
        <f t="shared" ref="T172:U172" si="176">T144+T146+T164</f>
        <v>12727523</v>
      </c>
      <c r="U172" s="350">
        <f t="shared" si="176"/>
        <v>0</v>
      </c>
      <c r="V172" s="351">
        <f t="shared" si="148"/>
        <v>-12727523</v>
      </c>
      <c r="W172" s="352">
        <f t="shared" si="149"/>
        <v>-1</v>
      </c>
      <c r="X172" s="353"/>
    </row>
    <row r="173" spans="1:24" ht="17.100000000000001" customHeight="1" x14ac:dyDescent="0.2">
      <c r="A173" s="342" t="s">
        <v>631</v>
      </c>
      <c r="B173" s="343" t="s">
        <v>93</v>
      </c>
      <c r="C173" s="344">
        <f>C153+C154-C164</f>
        <v>536032</v>
      </c>
      <c r="D173" s="344">
        <f>D153+D154-D164</f>
        <v>-407867</v>
      </c>
      <c r="E173" s="344">
        <f>E153+E154-E164</f>
        <v>-186802</v>
      </c>
      <c r="F173" s="344">
        <f>F153+F154-F164</f>
        <v>-229893</v>
      </c>
      <c r="G173" s="345">
        <f t="shared" si="133"/>
        <v>-43091</v>
      </c>
      <c r="H173" s="346">
        <f t="shared" si="134"/>
        <v>-0.23067740174088072</v>
      </c>
      <c r="I173" s="505"/>
      <c r="J173" s="344">
        <f>J153+J154-J164</f>
        <v>-30856</v>
      </c>
      <c r="K173" s="344">
        <f>K153+K154-K164</f>
        <v>0</v>
      </c>
      <c r="L173" s="345">
        <f t="shared" si="144"/>
        <v>30856</v>
      </c>
      <c r="M173" s="346">
        <f t="shared" si="145"/>
        <v>1</v>
      </c>
      <c r="N173" s="347"/>
      <c r="O173" s="344">
        <f>O153+O154-O164</f>
        <v>247047</v>
      </c>
      <c r="P173" s="344">
        <f>P153+P154-P164</f>
        <v>0</v>
      </c>
      <c r="Q173" s="345">
        <f t="shared" si="146"/>
        <v>-247047</v>
      </c>
      <c r="R173" s="346">
        <f t="shared" si="147"/>
        <v>-1</v>
      </c>
      <c r="S173" s="347"/>
      <c r="T173" s="344">
        <f>T153+T154-T164</f>
        <v>-407867</v>
      </c>
      <c r="U173" s="344">
        <f>U153+U154-U164</f>
        <v>0</v>
      </c>
      <c r="V173" s="345">
        <f t="shared" si="148"/>
        <v>407867</v>
      </c>
      <c r="W173" s="346">
        <f t="shared" si="149"/>
        <v>1</v>
      </c>
      <c r="X173" s="347"/>
    </row>
    <row r="174" spans="1:24" x14ac:dyDescent="0.2">
      <c r="C174" s="510">
        <f>C34/C172*100</f>
        <v>65.41862226025215</v>
      </c>
      <c r="D174" s="510">
        <f>D34/D172*100</f>
        <v>66.487689709930208</v>
      </c>
    </row>
    <row r="175" spans="1:24" x14ac:dyDescent="0.2">
      <c r="A175" s="529" t="s">
        <v>497</v>
      </c>
      <c r="B175" s="529"/>
      <c r="C175" s="511">
        <f>C50/C172</f>
        <v>0.1724824171221909</v>
      </c>
      <c r="D175" s="511">
        <f>D50/D172</f>
        <v>0.16721242617279106</v>
      </c>
      <c r="E175" s="218"/>
      <c r="F175" s="218"/>
      <c r="G175" s="218"/>
      <c r="H175" s="218"/>
      <c r="I175" s="506"/>
    </row>
    <row r="176" spans="1:24" ht="38.450000000000003" customHeight="1" x14ac:dyDescent="0.2">
      <c r="A176" s="534" t="s">
        <v>588</v>
      </c>
      <c r="B176" s="534"/>
      <c r="C176" s="534"/>
      <c r="D176" s="534"/>
      <c r="E176" s="534"/>
      <c r="F176" s="212"/>
      <c r="G176" s="212"/>
      <c r="H176" s="212"/>
      <c r="I176" s="507"/>
      <c r="J176" s="1"/>
      <c r="K176" s="1"/>
      <c r="L176" s="1"/>
      <c r="M176" s="1"/>
      <c r="N176" s="1"/>
      <c r="O176" s="1"/>
      <c r="P176" s="1"/>
      <c r="Q176" s="1"/>
      <c r="R176" s="1"/>
      <c r="S176" s="1"/>
      <c r="T176" s="1"/>
      <c r="U176" s="1"/>
      <c r="V176" s="1"/>
      <c r="W176" s="1"/>
      <c r="X176" s="1"/>
    </row>
    <row r="177" spans="1:9" ht="36.6" customHeight="1" x14ac:dyDescent="0.2">
      <c r="A177" s="533" t="s">
        <v>587</v>
      </c>
      <c r="B177" s="533"/>
      <c r="C177" s="533"/>
      <c r="D177" s="533"/>
      <c r="E177" s="533"/>
      <c r="F177" s="218"/>
      <c r="G177" s="218"/>
      <c r="H177" s="218"/>
      <c r="I177" s="506"/>
    </row>
    <row r="178" spans="1:9" ht="45.6" customHeight="1" x14ac:dyDescent="0.2">
      <c r="A178" s="534" t="s">
        <v>603</v>
      </c>
      <c r="B178" s="534"/>
      <c r="C178" s="534"/>
      <c r="D178" s="534"/>
      <c r="E178" s="534"/>
      <c r="F178" s="218"/>
      <c r="G178" s="218"/>
      <c r="H178" s="218"/>
      <c r="I178" s="506"/>
    </row>
    <row r="179" spans="1:9" ht="20.45" customHeight="1" x14ac:dyDescent="0.2">
      <c r="A179" s="535" t="s">
        <v>499</v>
      </c>
      <c r="B179" s="535"/>
      <c r="C179" s="535"/>
      <c r="D179" s="535"/>
      <c r="E179" s="535"/>
      <c r="F179" s="218"/>
      <c r="G179" s="218"/>
      <c r="H179" s="218"/>
      <c r="I179" s="506"/>
    </row>
    <row r="180" spans="1:9" x14ac:dyDescent="0.2">
      <c r="A180" s="535" t="s">
        <v>500</v>
      </c>
      <c r="B180" s="535"/>
      <c r="C180" s="535"/>
      <c r="D180" s="535"/>
      <c r="E180" s="535"/>
      <c r="F180" s="218"/>
      <c r="G180" s="218"/>
      <c r="H180" s="218"/>
      <c r="I180" s="506"/>
    </row>
  </sheetData>
  <sheetProtection formatColumns="0" formatRows="0"/>
  <mergeCells count="94">
    <mergeCell ref="A177:E177"/>
    <mergeCell ref="A178:E178"/>
    <mergeCell ref="A179:E179"/>
    <mergeCell ref="A180:E180"/>
    <mergeCell ref="A176:E176"/>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N104:N108"/>
    <mergeCell ref="N109:N112"/>
    <mergeCell ref="N90:N95"/>
    <mergeCell ref="S90:S95"/>
    <mergeCell ref="S96:S101"/>
    <mergeCell ref="S104:S108"/>
    <mergeCell ref="S109:S112"/>
    <mergeCell ref="S68:S73"/>
    <mergeCell ref="S74:S81"/>
    <mergeCell ref="N68:N73"/>
    <mergeCell ref="N74:N81"/>
    <mergeCell ref="S5:S9"/>
    <mergeCell ref="S10:S12"/>
    <mergeCell ref="S13:S15"/>
    <mergeCell ref="S16:S18"/>
    <mergeCell ref="N5:N9"/>
    <mergeCell ref="N10:N12"/>
    <mergeCell ref="N13:N15"/>
    <mergeCell ref="N16:N18"/>
    <mergeCell ref="N19:N21"/>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S130:S137"/>
    <mergeCell ref="X148:X152"/>
    <mergeCell ref="X114:X117"/>
    <mergeCell ref="X119:X125"/>
    <mergeCell ref="X130:X137"/>
  </mergeCells>
  <phoneticPr fontId="52" type="noConversion"/>
  <pageMargins left="0.25" right="0.25" top="0.75" bottom="0.75" header="0.3" footer="0.3"/>
  <pageSetup paperSize="9" scale="38" fitToHeight="0" orientation="landscape" horizontalDpi="4294967293"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3"/>
  <sheetViews>
    <sheetView tabSelected="1" view="pageBreakPreview" topLeftCell="C1" zoomScale="85" zoomScaleNormal="85" zoomScaleSheetLayoutView="85" zoomScalePageLayoutView="70" workbookViewId="0">
      <pane ySplit="1" topLeftCell="A2" activePane="bottomLeft" state="frozen"/>
      <selection pane="bottomLeft" activeCell="M17" sqref="M17"/>
    </sheetView>
  </sheetViews>
  <sheetFormatPr defaultColWidth="9.140625" defaultRowHeight="18" outlineLevelCol="1" x14ac:dyDescent="0.2"/>
  <cols>
    <col min="1" max="1" width="9.28515625" style="6" bestFit="1" customWidth="1"/>
    <col min="2" max="2" width="66.85546875" style="6" customWidth="1"/>
    <col min="3" max="5" width="16.5703125" style="6" customWidth="1"/>
    <col min="6" max="8" width="16.5703125" style="6" hidden="1" customWidth="1" outlineLevel="1"/>
    <col min="9" max="9" width="38.42578125" style="6" hidden="1" customWidth="1" outlineLevel="1"/>
    <col min="10" max="10" width="16.5703125" style="6" customWidth="1" collapsed="1"/>
    <col min="11" max="13" width="16.5703125" style="6" customWidth="1" outlineLevel="1"/>
    <col min="14" max="14" width="38.42578125" style="6" customWidth="1" outlineLevel="1"/>
    <col min="15" max="15" width="16.5703125" style="6" customWidth="1"/>
    <col min="16" max="18" width="16.5703125" style="6" hidden="1" customWidth="1" outlineLevel="1"/>
    <col min="19" max="19" width="38.42578125" style="6" hidden="1" customWidth="1" outlineLevel="1"/>
    <col min="20" max="20" width="16.5703125" style="6" customWidth="1" collapsed="1"/>
    <col min="21" max="23" width="16.5703125" style="6" hidden="1" customWidth="1" outlineLevel="1"/>
    <col min="24" max="24" width="38.42578125" style="6" hidden="1" customWidth="1" outlineLevel="1"/>
    <col min="25" max="25" width="9.140625" style="6" collapsed="1"/>
    <col min="26" max="16384" width="9.140625" style="6"/>
  </cols>
  <sheetData>
    <row r="1" spans="1:24" ht="63.6" customHeight="1" x14ac:dyDescent="0.2">
      <c r="A1" s="28" t="s">
        <v>364</v>
      </c>
      <c r="B1" s="28" t="s">
        <v>570</v>
      </c>
      <c r="C1" s="29" t="s">
        <v>637</v>
      </c>
      <c r="D1" s="29" t="s">
        <v>638</v>
      </c>
      <c r="E1" s="29" t="s">
        <v>639</v>
      </c>
      <c r="F1" s="29" t="s">
        <v>643</v>
      </c>
      <c r="G1" s="30" t="s">
        <v>409</v>
      </c>
      <c r="H1" s="31" t="s">
        <v>410</v>
      </c>
      <c r="I1" s="29" t="s">
        <v>569</v>
      </c>
      <c r="J1" s="29" t="s">
        <v>640</v>
      </c>
      <c r="K1" s="29" t="s">
        <v>703</v>
      </c>
      <c r="L1" s="30" t="s">
        <v>704</v>
      </c>
      <c r="M1" s="31" t="s">
        <v>705</v>
      </c>
      <c r="N1" s="29" t="s">
        <v>569</v>
      </c>
      <c r="O1" s="29" t="s">
        <v>641</v>
      </c>
      <c r="P1" s="29" t="s">
        <v>486</v>
      </c>
      <c r="Q1" s="30" t="s">
        <v>409</v>
      </c>
      <c r="R1" s="31" t="s">
        <v>410</v>
      </c>
      <c r="S1" s="29" t="s">
        <v>569</v>
      </c>
      <c r="T1" s="29" t="s">
        <v>642</v>
      </c>
      <c r="U1" s="29" t="s">
        <v>487</v>
      </c>
      <c r="V1" s="30" t="s">
        <v>409</v>
      </c>
      <c r="W1" s="31" t="s">
        <v>410</v>
      </c>
      <c r="X1" s="29" t="s">
        <v>569</v>
      </c>
    </row>
    <row r="2" spans="1:24" ht="12" customHeight="1" x14ac:dyDescent="0.2">
      <c r="A2" s="28">
        <v>1</v>
      </c>
      <c r="B2" s="28">
        <v>2</v>
      </c>
      <c r="C2" s="29">
        <v>3</v>
      </c>
      <c r="D2" s="29">
        <v>4</v>
      </c>
      <c r="E2" s="29">
        <v>5</v>
      </c>
      <c r="F2" s="29">
        <v>6</v>
      </c>
      <c r="G2" s="30">
        <v>7</v>
      </c>
      <c r="H2" s="32">
        <v>8</v>
      </c>
      <c r="I2" s="29">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x14ac:dyDescent="0.2">
      <c r="A3" s="28">
        <v>1</v>
      </c>
      <c r="B3" s="33" t="s">
        <v>355</v>
      </c>
      <c r="C3" s="34">
        <v>11727067</v>
      </c>
      <c r="D3" s="34">
        <f>'Budžeta tāme'!D5+'Budžeta tāme'!D10+'Budžeta tāme'!D13+'Budžeta tāme'!D23+'Budžeta tāme'!D24+'Budžeta tāme'!D27+'Budžeta tāme'!D28</f>
        <v>12243909</v>
      </c>
      <c r="E3" s="34">
        <f>'Budžeta tāme'!E5+'Budžeta tāme'!E10+'Budžeta tāme'!E13+'Budžeta tāme'!E23+'Budžeta tāme'!E24+'Budžeta tāme'!E27+'Budžeta tāme'!E28</f>
        <v>2838957</v>
      </c>
      <c r="F3" s="34">
        <f>'Budžeta tāme'!F5+'Budžeta tāme'!F10+'Budžeta tāme'!F13+'Budžeta tāme'!F23+'Budžeta tāme'!F24+'Budžeta tāme'!F27+'Budžeta tāme'!F28</f>
        <v>2721039</v>
      </c>
      <c r="G3" s="34">
        <f>'Budžeta tāme'!G5+'Budžeta tāme'!G10+'Budžeta tāme'!G13+'Budžeta tāme'!G23+'Budžeta tāme'!G24+'Budžeta tāme'!G27+'Budžeta tāme'!G28</f>
        <v>-117918</v>
      </c>
      <c r="H3" s="36">
        <f t="shared" ref="H3:H20" si="0">IFERROR(G3/ABS(E3), "-")</f>
        <v>-4.1535676658716561E-2</v>
      </c>
      <c r="I3" s="34"/>
      <c r="J3" s="34">
        <f>'Budžeta tāme'!J5+'Budžeta tāme'!J10+'Budžeta tāme'!J13+'Budžeta tāme'!J23+'Budžeta tāme'!J24+'Budžeta tāme'!J27+'Budžeta tāme'!J28</f>
        <v>5925714</v>
      </c>
      <c r="K3" s="34">
        <f>'Budžeta tāme'!K5+'Budžeta tāme'!K10+'Budžeta tāme'!K13+'Budžeta tāme'!K23+'Budžeta tāme'!K24+'Budžeta tāme'!K27+'Budžeta tāme'!K28</f>
        <v>0</v>
      </c>
      <c r="L3" s="34">
        <f>'Budžeta tāme'!L5+'Budžeta tāme'!L10+'Budžeta tāme'!L13+'Budžeta tāme'!L23+'Budžeta tāme'!L24+'Budžeta tāme'!L27+'Budžeta tāme'!L28</f>
        <v>-5925714</v>
      </c>
      <c r="M3" s="34">
        <f>'Budžeta tāme'!M5+'Budžeta tāme'!M10+'Budžeta tāme'!M13+'Budžeta tāme'!M23+'Budžeta tāme'!M24+'Budžeta tāme'!M27+'Budžeta tāme'!M28</f>
        <v>-7</v>
      </c>
      <c r="N3" s="34">
        <f>'Budžeta tāme'!N5+'Budžeta tāme'!N10+'Budžeta tāme'!N13+'Budžeta tāme'!N23+'Budžeta tāme'!N24+'Budžeta tāme'!N27+'Budžeta tāme'!N28</f>
        <v>0</v>
      </c>
      <c r="O3" s="34">
        <f>'Budžeta tāme'!O5+'Budžeta tāme'!O10+'Budžeta tāme'!O13+'Budžeta tāme'!O23+'Budžeta tāme'!O24+'Budžeta tāme'!O27+'Budžeta tāme'!O28</f>
        <v>9081935</v>
      </c>
      <c r="P3" s="34">
        <f>'Budžeta tāme'!P5+'Budžeta tāme'!P10+'Budžeta tāme'!P13+'Budžeta tāme'!P23+'Budžeta tāme'!P24+'Budžeta tāme'!P27+'Budžeta tāme'!P28</f>
        <v>0</v>
      </c>
      <c r="Q3" s="34">
        <f>'Budžeta tāme'!Q5+'Budžeta tāme'!Q10+'Budžeta tāme'!Q13+'Budžeta tāme'!Q23+'Budžeta tāme'!Q24+'Budžeta tāme'!Q27+'Budžeta tāme'!Q28</f>
        <v>-9081935</v>
      </c>
      <c r="R3" s="34">
        <f>'Budžeta tāme'!R5+'Budžeta tāme'!R10+'Budžeta tāme'!R13+'Budžeta tāme'!R23+'Budžeta tāme'!R24+'Budžeta tāme'!R27+'Budžeta tāme'!R28</f>
        <v>-7</v>
      </c>
      <c r="S3" s="34">
        <f>'Budžeta tāme'!S5+'Budžeta tāme'!S10+'Budžeta tāme'!S13+'Budžeta tāme'!S23+'Budžeta tāme'!S24+'Budžeta tāme'!S27+'Budžeta tāme'!S28</f>
        <v>0</v>
      </c>
      <c r="T3" s="34">
        <f>'Budžeta tāme'!T5+'Budžeta tāme'!T10+'Budžeta tāme'!T13+'Budžeta tāme'!T23+'Budžeta tāme'!T24+'Budžeta tāme'!T27+'Budžeta tāme'!T28</f>
        <v>12243909</v>
      </c>
      <c r="U3" s="34"/>
      <c r="V3" s="35">
        <f>U3-T3</f>
        <v>-12243909</v>
      </c>
      <c r="W3" s="36">
        <f>IFERROR(V3/ABS(T3), "-")</f>
        <v>-1</v>
      </c>
      <c r="X3" s="37"/>
    </row>
    <row r="4" spans="1:24" ht="31.5" x14ac:dyDescent="0.2">
      <c r="A4" s="28">
        <v>2</v>
      </c>
      <c r="B4" s="33" t="s">
        <v>469</v>
      </c>
      <c r="C4" s="34">
        <v>10624170</v>
      </c>
      <c r="D4" s="34">
        <f>'Budžeta tāme'!D172-'PZ Aprēķins'!D7-'PZ Aprēķins'!D9</f>
        <v>11985344</v>
      </c>
      <c r="E4" s="34">
        <f>'Budžeta tāme'!E172-'PZ Aprēķins'!E7-'PZ Aprēķins'!E9</f>
        <v>2854768</v>
      </c>
      <c r="F4" s="34">
        <f>'Budžeta tāme'!F172-'PZ Aprēķins'!F7-'PZ Aprēķins'!F9</f>
        <v>2790677</v>
      </c>
      <c r="G4" s="34">
        <f>'Budžeta tāme'!G172-'PZ Aprēķins'!G7-'PZ Aprēķins'!G9</f>
        <v>-64465</v>
      </c>
      <c r="H4" s="36">
        <f t="shared" si="0"/>
        <v>-2.2581519759223866E-2</v>
      </c>
      <c r="I4" s="34"/>
      <c r="J4" s="34">
        <f>'Budžeta tāme'!J172-'PZ Aprēķins'!J7-'PZ Aprēķins'!J9</f>
        <v>5619977</v>
      </c>
      <c r="K4" s="34">
        <f>'Budžeta tāme'!K172-'PZ Aprēķins'!K7-'PZ Aprēķins'!K9</f>
        <v>0</v>
      </c>
      <c r="L4" s="34">
        <f>'Budžeta tāme'!L172-'PZ Aprēķins'!L7-'PZ Aprēķins'!L9</f>
        <v>-5619977</v>
      </c>
      <c r="M4" s="34">
        <f>'Budžeta tāme'!M172-'PZ Aprēķins'!M7-'PZ Aprēķins'!M9</f>
        <v>3</v>
      </c>
      <c r="N4" s="34">
        <f>'Budžeta tāme'!N172-'PZ Aprēķins'!N7-'PZ Aprēķins'!N9</f>
        <v>0</v>
      </c>
      <c r="O4" s="34">
        <f>'Budžeta tāme'!O172-'PZ Aprēķins'!O7-'PZ Aprēķins'!O9</f>
        <v>8338097</v>
      </c>
      <c r="P4" s="34">
        <f>'Budžeta tāme'!P172-'PZ Aprēķins'!P7-'PZ Aprēķins'!P9</f>
        <v>0</v>
      </c>
      <c r="Q4" s="34">
        <f>'Budžeta tāme'!Q172-'PZ Aprēķins'!Q7-'PZ Aprēķins'!Q9</f>
        <v>-8338097</v>
      </c>
      <c r="R4" s="34" t="e">
        <f>'Budžeta tāme'!R172-'PZ Aprēķins'!R7-'PZ Aprēķins'!R9</f>
        <v>#VALUE!</v>
      </c>
      <c r="S4" s="34">
        <f>'Budžeta tāme'!S172-'PZ Aprēķins'!S7-'PZ Aprēķins'!S9</f>
        <v>0</v>
      </c>
      <c r="T4" s="34">
        <f>'Budžeta tāme'!T172-'PZ Aprēķins'!T7-'PZ Aprēķins'!T9</f>
        <v>11985344</v>
      </c>
      <c r="U4" s="34"/>
      <c r="V4" s="35">
        <f t="shared" ref="V4:V9" si="1">U4-T4</f>
        <v>-11985344</v>
      </c>
      <c r="W4" s="36">
        <f t="shared" ref="W4:W9" si="2">IFERROR(V4/ABS(T4), "-")</f>
        <v>-1</v>
      </c>
      <c r="X4" s="37"/>
    </row>
    <row r="5" spans="1:24" ht="89.25" x14ac:dyDescent="0.2">
      <c r="A5" s="38">
        <v>3</v>
      </c>
      <c r="B5" s="39" t="s">
        <v>356</v>
      </c>
      <c r="C5" s="40">
        <f>C3-C4</f>
        <v>1102897</v>
      </c>
      <c r="D5" s="40">
        <f t="shared" ref="D5:E5" si="3">D3-D4</f>
        <v>258565</v>
      </c>
      <c r="E5" s="40">
        <f t="shared" si="3"/>
        <v>-15811</v>
      </c>
      <c r="F5" s="40">
        <f>F3-F4</f>
        <v>-69638</v>
      </c>
      <c r="G5" s="41">
        <f t="shared" ref="G5:G19" si="4">F5-E5</f>
        <v>-53827</v>
      </c>
      <c r="H5" s="42">
        <f t="shared" si="0"/>
        <v>-3.4044019986085639</v>
      </c>
      <c r="I5" s="509" t="s">
        <v>702</v>
      </c>
      <c r="J5" s="40">
        <f t="shared" ref="J5" si="5">J3-J4</f>
        <v>305737</v>
      </c>
      <c r="K5" s="40">
        <f>K3-K4</f>
        <v>0</v>
      </c>
      <c r="L5" s="41">
        <f t="shared" ref="L5:L7" si="6">K5-J5</f>
        <v>-305737</v>
      </c>
      <c r="M5" s="42">
        <f t="shared" ref="M5:M7" si="7">IFERROR(L5/ABS(J5), "-")</f>
        <v>-1</v>
      </c>
      <c r="N5" s="43"/>
      <c r="O5" s="40">
        <f t="shared" ref="O5" si="8">O3-O4</f>
        <v>743838</v>
      </c>
      <c r="P5" s="40">
        <f>P3-P4</f>
        <v>0</v>
      </c>
      <c r="Q5" s="41">
        <f t="shared" ref="Q5:Q7" si="9">P5-O5</f>
        <v>-743838</v>
      </c>
      <c r="R5" s="42">
        <f t="shared" ref="R5:R7" si="10">IFERROR(Q5/ABS(O5), "-")</f>
        <v>-1</v>
      </c>
      <c r="S5" s="43"/>
      <c r="T5" s="40">
        <f t="shared" ref="T5" si="11">T3-T4</f>
        <v>258565</v>
      </c>
      <c r="U5" s="40">
        <f>U3-U4</f>
        <v>0</v>
      </c>
      <c r="V5" s="41">
        <f t="shared" si="1"/>
        <v>-258565</v>
      </c>
      <c r="W5" s="42">
        <f t="shared" si="2"/>
        <v>-1</v>
      </c>
      <c r="X5" s="43"/>
    </row>
    <row r="6" spans="1:24" x14ac:dyDescent="0.2">
      <c r="A6" s="28">
        <v>4</v>
      </c>
      <c r="B6" s="33" t="s">
        <v>357</v>
      </c>
      <c r="C6" s="34"/>
      <c r="D6" s="34"/>
      <c r="E6" s="34"/>
      <c r="F6" s="34"/>
      <c r="G6" s="35">
        <f t="shared" si="4"/>
        <v>0</v>
      </c>
      <c r="H6" s="36" t="str">
        <f t="shared" si="0"/>
        <v>-</v>
      </c>
      <c r="I6" s="37"/>
      <c r="J6" s="34"/>
      <c r="K6" s="34"/>
      <c r="L6" s="35">
        <f t="shared" si="6"/>
        <v>0</v>
      </c>
      <c r="M6" s="36" t="str">
        <f t="shared" si="7"/>
        <v>-</v>
      </c>
      <c r="N6" s="37"/>
      <c r="O6" s="34"/>
      <c r="P6" s="34"/>
      <c r="Q6" s="35">
        <f t="shared" si="9"/>
        <v>0</v>
      </c>
      <c r="R6" s="36" t="str">
        <f t="shared" si="10"/>
        <v>-</v>
      </c>
      <c r="S6" s="37"/>
      <c r="T6" s="34"/>
      <c r="U6" s="34"/>
      <c r="V6" s="35">
        <f t="shared" si="1"/>
        <v>0</v>
      </c>
      <c r="W6" s="36" t="str">
        <f t="shared" si="2"/>
        <v>-</v>
      </c>
      <c r="X6" s="37"/>
    </row>
    <row r="7" spans="1:24" x14ac:dyDescent="0.2">
      <c r="A7" s="28">
        <v>5</v>
      </c>
      <c r="B7" s="33" t="s">
        <v>358</v>
      </c>
      <c r="C7" s="34">
        <v>607084</v>
      </c>
      <c r="D7" s="34">
        <f>635649+4556+3025+20000</f>
        <v>663230</v>
      </c>
      <c r="E7" s="34">
        <f>165828+8034</f>
        <v>173862</v>
      </c>
      <c r="F7" s="34">
        <v>163720</v>
      </c>
      <c r="G7" s="35">
        <f t="shared" si="4"/>
        <v>-10142</v>
      </c>
      <c r="H7" s="36">
        <f t="shared" si="0"/>
        <v>-5.8333620917739359E-2</v>
      </c>
      <c r="I7" s="37"/>
      <c r="J7" s="34">
        <f>323521+16069</f>
        <v>339590</v>
      </c>
      <c r="K7" s="34"/>
      <c r="L7" s="35">
        <f t="shared" si="6"/>
        <v>-339590</v>
      </c>
      <c r="M7" s="36">
        <f t="shared" si="7"/>
        <v>-1</v>
      </c>
      <c r="N7" s="37"/>
      <c r="O7" s="34">
        <f>478385+24103</f>
        <v>502488</v>
      </c>
      <c r="P7" s="34"/>
      <c r="Q7" s="35">
        <f t="shared" si="9"/>
        <v>-502488</v>
      </c>
      <c r="R7" s="36">
        <f t="shared" si="10"/>
        <v>-1</v>
      </c>
      <c r="S7" s="37"/>
      <c r="T7" s="34">
        <f>D7</f>
        <v>663230</v>
      </c>
      <c r="U7" s="34"/>
      <c r="V7" s="35">
        <f t="shared" si="1"/>
        <v>-663230</v>
      </c>
      <c r="W7" s="36">
        <f t="shared" si="2"/>
        <v>-1</v>
      </c>
      <c r="X7" s="37"/>
    </row>
    <row r="8" spans="1:24" x14ac:dyDescent="0.2">
      <c r="A8" s="28">
        <v>6</v>
      </c>
      <c r="B8" s="33" t="s">
        <v>359</v>
      </c>
      <c r="C8" s="34">
        <v>547089</v>
      </c>
      <c r="D8" s="34">
        <f>'Budžeta tāme'!D25+'Budžeta tāme'!D26+'Budžeta tāme'!D162+'Budžeta tāme'!D29</f>
        <v>75747</v>
      </c>
      <c r="E8" s="34">
        <f>'Budžeta tāme'!E25+'Budžeta tāme'!E26+'Budžeta tāme'!E162</f>
        <v>19937</v>
      </c>
      <c r="F8" s="34">
        <f>'Budžeta tāme'!F25+'Budžeta tāme'!F26+'Budžeta tāme'!F162+'Budžeta tāme'!F29</f>
        <v>20367</v>
      </c>
      <c r="G8" s="34">
        <f>'Budžeta tāme'!G25+'Budžeta tāme'!G26+'Budžeta tāme'!G162</f>
        <v>-427</v>
      </c>
      <c r="H8" s="36">
        <f t="shared" si="0"/>
        <v>-2.1417465014796608E-2</v>
      </c>
      <c r="I8" s="34"/>
      <c r="J8" s="34">
        <f>'Budžeta tāme'!J25+'Budžeta tāme'!J26+'Budžeta tāme'!J162+'Budžeta tāme'!J29</f>
        <v>37074</v>
      </c>
      <c r="K8" s="34">
        <f>'Budžeta tāme'!K25+'Budžeta tāme'!K26+'Budžeta tāme'!K162</f>
        <v>0</v>
      </c>
      <c r="L8" s="34">
        <f>'Budžeta tāme'!L25+'Budžeta tāme'!L26+'Budžeta tāme'!L162</f>
        <v>-22674</v>
      </c>
      <c r="M8" s="34">
        <f>'Budžeta tāme'!M25+'Budžeta tāme'!M26+'Budžeta tāme'!M162</f>
        <v>-2</v>
      </c>
      <c r="N8" s="34">
        <f>'Budžeta tāme'!N25+'Budžeta tāme'!N26+'Budžeta tāme'!N162</f>
        <v>0</v>
      </c>
      <c r="O8" s="34">
        <f>'Budžeta tāme'!O25+'Budžeta tāme'!O26+'Budžeta tāme'!O162+'Budžeta tāme'!O29</f>
        <v>56110</v>
      </c>
      <c r="P8" s="34">
        <f>'Budžeta tāme'!P25+'Budžeta tāme'!P26+'Budžeta tāme'!P162</f>
        <v>0</v>
      </c>
      <c r="Q8" s="34">
        <f>'Budžeta tāme'!Q25+'Budžeta tāme'!Q26+'Budžeta tāme'!Q162</f>
        <v>-34910</v>
      </c>
      <c r="R8" s="34">
        <f>'Budžeta tāme'!R25+'Budžeta tāme'!R26+'Budžeta tāme'!R162</f>
        <v>-2</v>
      </c>
      <c r="S8" s="34">
        <f>'Budžeta tāme'!S25+'Budžeta tāme'!S26+'Budžeta tāme'!S162</f>
        <v>0</v>
      </c>
      <c r="T8" s="34">
        <f>'Budžeta tāme'!T25+'Budžeta tāme'!T26+'Budžeta tāme'!T162+'Budžeta tāme'!T29</f>
        <v>75747</v>
      </c>
      <c r="U8" s="34"/>
      <c r="V8" s="35">
        <f t="shared" si="1"/>
        <v>-75747</v>
      </c>
      <c r="W8" s="36">
        <f t="shared" si="2"/>
        <v>-1</v>
      </c>
      <c r="X8" s="37"/>
    </row>
    <row r="9" spans="1:24" x14ac:dyDescent="0.2">
      <c r="A9" s="28">
        <v>7</v>
      </c>
      <c r="B9" s="33" t="s">
        <v>360</v>
      </c>
      <c r="C9" s="34">
        <v>506870</v>
      </c>
      <c r="D9" s="34">
        <f>'Budžeta tāme'!D171+'Budžeta tāme'!D169+'Budžeta tāme'!D168+'Budžeta tāme'!D130+'Budžeta tāme'!D57</f>
        <v>78949</v>
      </c>
      <c r="E9" s="34">
        <f>'Budžeta tāme'!E171+'Budžeta tāme'!E169+'Budžeta tāme'!E168+'Budžeta tāme'!E130+'Budžeta tāme'!E57</f>
        <v>17066</v>
      </c>
      <c r="F9" s="34">
        <v>16902</v>
      </c>
      <c r="G9" s="34">
        <f>'Budžeta tāme'!G171+'Budžeta tāme'!G169+'Budžeta tāme'!G168+'Budžeta tāme'!G130+'Budžeta tāme'!G57</f>
        <v>210</v>
      </c>
      <c r="H9" s="36">
        <f t="shared" si="0"/>
        <v>1.2305168170631665E-2</v>
      </c>
      <c r="I9" s="34"/>
      <c r="J9" s="34">
        <f>'Budžeta tāme'!J171+'Budžeta tāme'!J169+'Budžeta tāme'!J168+'Budžeta tāme'!J130+'Budžeta tāme'!J57</f>
        <v>34077</v>
      </c>
      <c r="K9" s="34">
        <f>'Budžeta tāme'!K171+'Budžeta tāme'!K169+'Budžeta tāme'!K168+'Budžeta tāme'!K130+'Budžeta tāme'!K57</f>
        <v>0</v>
      </c>
      <c r="L9" s="34">
        <f>'Budžeta tāme'!L171+'Budžeta tāme'!L169+'Budžeta tāme'!L168+'Budžeta tāme'!L130+'Budžeta tāme'!L57</f>
        <v>-34077</v>
      </c>
      <c r="M9" s="34">
        <f>'Budžeta tāme'!M26+'Budžeta tāme'!M27+'Budžeta tāme'!M163</f>
        <v>-3</v>
      </c>
      <c r="N9" s="34">
        <f>'Budžeta tāme'!N171+'Budžeta tāme'!N169+'Budžeta tāme'!N168+'Budžeta tāme'!N130+'Budžeta tāme'!N57</f>
        <v>0</v>
      </c>
      <c r="O9" s="34">
        <f>'Budžeta tāme'!O171+'Budžeta tāme'!O169+'Budžeta tāme'!O168+'Budžeta tāme'!O130+'Budžeta tāme'!O57</f>
        <v>50413</v>
      </c>
      <c r="P9" s="34">
        <f>'Budžeta tāme'!P171+'Budžeta tāme'!P169+'Budžeta tāme'!P168+'Budžeta tāme'!P130+'Budžeta tāme'!P57</f>
        <v>0</v>
      </c>
      <c r="Q9" s="34">
        <f>'Budžeta tāme'!Q171+'Budžeta tāme'!Q169+'Budžeta tāme'!Q168+'Budžeta tāme'!Q130+'Budžeta tāme'!Q57</f>
        <v>-50413</v>
      </c>
      <c r="R9" s="34" t="e">
        <f>'Budžeta tāme'!R171+'Budžeta tāme'!R169+'Budžeta tāme'!R168+'Budžeta tāme'!R130+'Budžeta tāme'!R57</f>
        <v>#VALUE!</v>
      </c>
      <c r="S9" s="34">
        <f>'Budžeta tāme'!S171+'Budžeta tāme'!S169+'Budžeta tāme'!S168+'Budžeta tāme'!S130+'Budžeta tāme'!S57</f>
        <v>0</v>
      </c>
      <c r="T9" s="34">
        <f>'Budžeta tāme'!T171+'Budžeta tāme'!T169+'Budžeta tāme'!T168+'Budžeta tāme'!T130+'Budžeta tāme'!T57</f>
        <v>78949</v>
      </c>
      <c r="U9" s="34"/>
      <c r="V9" s="35">
        <f t="shared" si="1"/>
        <v>-78949</v>
      </c>
      <c r="W9" s="36">
        <f t="shared" si="2"/>
        <v>-1</v>
      </c>
      <c r="X9" s="37"/>
    </row>
    <row r="10" spans="1:24" x14ac:dyDescent="0.2">
      <c r="A10" s="28">
        <v>8</v>
      </c>
      <c r="B10" s="33" t="s">
        <v>488</v>
      </c>
      <c r="C10" s="34"/>
      <c r="D10" s="34"/>
      <c r="E10" s="34"/>
      <c r="F10" s="34"/>
      <c r="G10" s="35">
        <f>F10-E10</f>
        <v>0</v>
      </c>
      <c r="H10" s="36" t="str">
        <f>IFERROR(G10/ABS(E10), "-")</f>
        <v>-</v>
      </c>
      <c r="I10" s="37"/>
      <c r="J10" s="34"/>
      <c r="K10" s="34"/>
      <c r="L10" s="35">
        <f>K10-J10</f>
        <v>0</v>
      </c>
      <c r="M10" s="36" t="str">
        <f>IFERROR(L10/ABS(J10), "-")</f>
        <v>-</v>
      </c>
      <c r="N10" s="37"/>
      <c r="O10" s="34"/>
      <c r="P10" s="34"/>
      <c r="Q10" s="35">
        <f>P10-O10</f>
        <v>0</v>
      </c>
      <c r="R10" s="36" t="str">
        <f>IFERROR(Q10/ABS(O10), "-")</f>
        <v>-</v>
      </c>
      <c r="S10" s="37"/>
      <c r="T10" s="34"/>
      <c r="U10" s="34"/>
      <c r="V10" s="35">
        <f>U10-T10</f>
        <v>0</v>
      </c>
      <c r="W10" s="36" t="str">
        <f>IFERROR(V10/ABS(T10), "-")</f>
        <v>-</v>
      </c>
      <c r="X10" s="37"/>
    </row>
    <row r="11" spans="1:24" ht="31.5" x14ac:dyDescent="0.2">
      <c r="A11" s="28">
        <v>9</v>
      </c>
      <c r="B11" s="33" t="s">
        <v>361</v>
      </c>
      <c r="C11" s="34"/>
      <c r="D11" s="34"/>
      <c r="E11" s="34"/>
      <c r="F11" s="34"/>
      <c r="G11" s="35">
        <f t="shared" si="4"/>
        <v>0</v>
      </c>
      <c r="H11" s="36" t="str">
        <f t="shared" si="0"/>
        <v>-</v>
      </c>
      <c r="I11" s="37"/>
      <c r="J11" s="34"/>
      <c r="K11" s="34"/>
      <c r="L11" s="35">
        <f t="shared" ref="L11:L19" si="12">K11-J11</f>
        <v>0</v>
      </c>
      <c r="M11" s="36" t="str">
        <f t="shared" ref="M11:M20" si="13">IFERROR(L11/ABS(J11), "-")</f>
        <v>-</v>
      </c>
      <c r="N11" s="37"/>
      <c r="O11" s="34"/>
      <c r="P11" s="34"/>
      <c r="Q11" s="35">
        <f t="shared" ref="Q11:Q19" si="14">P11-O11</f>
        <v>0</v>
      </c>
      <c r="R11" s="36" t="str">
        <f t="shared" ref="R11:R20" si="15">IFERROR(Q11/ABS(O11), "-")</f>
        <v>-</v>
      </c>
      <c r="S11" s="37"/>
      <c r="T11" s="34"/>
      <c r="U11" s="34"/>
      <c r="V11" s="35">
        <f t="shared" ref="V11:V20" si="16">U11-T11</f>
        <v>0</v>
      </c>
      <c r="W11" s="36" t="str">
        <f t="shared" ref="W11:W19" si="17">IFERROR(V11/ABS(T11), "-")</f>
        <v>-</v>
      </c>
      <c r="X11" s="37"/>
    </row>
    <row r="12" spans="1:24" x14ac:dyDescent="0.2">
      <c r="A12" s="28">
        <v>10</v>
      </c>
      <c r="B12" s="33" t="s">
        <v>362</v>
      </c>
      <c r="C12" s="34"/>
      <c r="D12" s="34"/>
      <c r="E12" s="34"/>
      <c r="F12" s="34"/>
      <c r="G12" s="35">
        <f t="shared" si="4"/>
        <v>0</v>
      </c>
      <c r="H12" s="36" t="str">
        <f t="shared" si="0"/>
        <v>-</v>
      </c>
      <c r="I12" s="37"/>
      <c r="J12" s="34"/>
      <c r="K12" s="34"/>
      <c r="L12" s="35">
        <f t="shared" si="12"/>
        <v>0</v>
      </c>
      <c r="M12" s="36" t="str">
        <f t="shared" si="13"/>
        <v>-</v>
      </c>
      <c r="N12" s="37"/>
      <c r="O12" s="34"/>
      <c r="P12" s="34"/>
      <c r="Q12" s="35">
        <f t="shared" si="14"/>
        <v>0</v>
      </c>
      <c r="R12" s="36" t="str">
        <f t="shared" si="15"/>
        <v>-</v>
      </c>
      <c r="S12" s="37"/>
      <c r="T12" s="34"/>
      <c r="U12" s="34"/>
      <c r="V12" s="35">
        <f t="shared" si="16"/>
        <v>0</v>
      </c>
      <c r="W12" s="36" t="str">
        <f t="shared" si="17"/>
        <v>-</v>
      </c>
      <c r="X12" s="37"/>
    </row>
    <row r="13" spans="1:24" ht="17.45" customHeight="1" x14ac:dyDescent="0.2">
      <c r="A13" s="28">
        <v>11</v>
      </c>
      <c r="B13" s="33" t="s">
        <v>489</v>
      </c>
      <c r="C13" s="34"/>
      <c r="D13" s="34"/>
      <c r="E13" s="34"/>
      <c r="F13" s="34"/>
      <c r="G13" s="35">
        <f t="shared" si="4"/>
        <v>0</v>
      </c>
      <c r="H13" s="36" t="str">
        <f t="shared" si="0"/>
        <v>-</v>
      </c>
      <c r="I13" s="37"/>
      <c r="J13" s="34"/>
      <c r="K13" s="34"/>
      <c r="L13" s="35">
        <f t="shared" si="12"/>
        <v>0</v>
      </c>
      <c r="M13" s="36" t="str">
        <f t="shared" si="13"/>
        <v>-</v>
      </c>
      <c r="N13" s="37"/>
      <c r="O13" s="34"/>
      <c r="P13" s="34"/>
      <c r="Q13" s="35">
        <f t="shared" si="14"/>
        <v>0</v>
      </c>
      <c r="R13" s="36" t="str">
        <f t="shared" si="15"/>
        <v>-</v>
      </c>
      <c r="S13" s="37"/>
      <c r="T13" s="34"/>
      <c r="U13" s="34"/>
      <c r="V13" s="35">
        <f t="shared" si="16"/>
        <v>0</v>
      </c>
      <c r="W13" s="36" t="str">
        <f t="shared" si="17"/>
        <v>-</v>
      </c>
      <c r="X13" s="37"/>
    </row>
    <row r="14" spans="1:24" x14ac:dyDescent="0.2">
      <c r="A14" s="28">
        <v>12</v>
      </c>
      <c r="B14" s="33" t="s">
        <v>363</v>
      </c>
      <c r="C14" s="34"/>
      <c r="D14" s="34"/>
      <c r="E14" s="34"/>
      <c r="F14" s="34"/>
      <c r="G14" s="35">
        <f t="shared" si="4"/>
        <v>0</v>
      </c>
      <c r="H14" s="36" t="str">
        <f t="shared" si="0"/>
        <v>-</v>
      </c>
      <c r="I14" s="37"/>
      <c r="J14" s="34"/>
      <c r="K14" s="34"/>
      <c r="L14" s="35">
        <f t="shared" si="12"/>
        <v>0</v>
      </c>
      <c r="M14" s="36" t="str">
        <f t="shared" si="13"/>
        <v>-</v>
      </c>
      <c r="N14" s="37"/>
      <c r="O14" s="34"/>
      <c r="P14" s="34"/>
      <c r="Q14" s="35">
        <f t="shared" si="14"/>
        <v>0</v>
      </c>
      <c r="R14" s="36" t="str">
        <f t="shared" si="15"/>
        <v>-</v>
      </c>
      <c r="S14" s="37"/>
      <c r="T14" s="34"/>
      <c r="U14" s="34"/>
      <c r="V14" s="35">
        <f t="shared" si="16"/>
        <v>0</v>
      </c>
      <c r="W14" s="36" t="str">
        <f t="shared" si="17"/>
        <v>-</v>
      </c>
      <c r="X14" s="37"/>
    </row>
    <row r="15" spans="1:24" x14ac:dyDescent="0.2">
      <c r="A15" s="38">
        <v>13</v>
      </c>
      <c r="B15" s="39" t="s">
        <v>490</v>
      </c>
      <c r="C15" s="40">
        <f>C5-C6-C7+C8-C9+C10+C11+C12-C13-C14</f>
        <v>536032</v>
      </c>
      <c r="D15" s="40">
        <f>D5-D6-D7+D8-D9+D10+D11+D12-D13-D14</f>
        <v>-407867</v>
      </c>
      <c r="E15" s="40">
        <f t="shared" ref="E15:F15" si="18">E5-E6-E7+E8-E9+E10+E11+E12-E13-E14</f>
        <v>-186802</v>
      </c>
      <c r="F15" s="40">
        <f t="shared" si="18"/>
        <v>-229893</v>
      </c>
      <c r="G15" s="41">
        <f t="shared" si="4"/>
        <v>-43091</v>
      </c>
      <c r="H15" s="42">
        <f t="shared" si="0"/>
        <v>-0.23067740174088072</v>
      </c>
      <c r="I15" s="43"/>
      <c r="J15" s="40">
        <f t="shared" ref="J15:K15" si="19">J5-J6-J7+J8-J9+J10+J11+J12-J13-J14</f>
        <v>-30856</v>
      </c>
      <c r="K15" s="40">
        <f t="shared" si="19"/>
        <v>0</v>
      </c>
      <c r="L15" s="41">
        <f t="shared" si="12"/>
        <v>30856</v>
      </c>
      <c r="M15" s="42">
        <f t="shared" si="13"/>
        <v>1</v>
      </c>
      <c r="N15" s="43"/>
      <c r="O15" s="40">
        <f t="shared" ref="O15:P15" si="20">O5-O6-O7+O8-O9+O10+O11+O12-O13-O14</f>
        <v>247047</v>
      </c>
      <c r="P15" s="40">
        <f t="shared" si="20"/>
        <v>0</v>
      </c>
      <c r="Q15" s="41">
        <f t="shared" si="14"/>
        <v>-247047</v>
      </c>
      <c r="R15" s="42">
        <f t="shared" si="15"/>
        <v>-1</v>
      </c>
      <c r="S15" s="43"/>
      <c r="T15" s="40">
        <f t="shared" ref="T15" si="21">T5-T6-T7+T8-T9+T10+T11+T12-T13-T14</f>
        <v>-407867</v>
      </c>
      <c r="U15" s="40">
        <f>U5-U6-U7+U8-U9+U10+U11+U12-U13-U14</f>
        <v>0</v>
      </c>
      <c r="V15" s="41">
        <f t="shared" si="16"/>
        <v>407867</v>
      </c>
      <c r="W15" s="42">
        <f t="shared" si="17"/>
        <v>1</v>
      </c>
      <c r="X15" s="43"/>
    </row>
    <row r="16" spans="1:24" x14ac:dyDescent="0.2">
      <c r="A16" s="28">
        <v>14</v>
      </c>
      <c r="B16" s="33" t="s">
        <v>491</v>
      </c>
      <c r="C16" s="34"/>
      <c r="D16" s="34"/>
      <c r="E16" s="34"/>
      <c r="F16" s="34"/>
      <c r="G16" s="35">
        <f t="shared" si="4"/>
        <v>0</v>
      </c>
      <c r="H16" s="36" t="str">
        <f>IFERROR(G16/ABS(E16), "-")</f>
        <v>-</v>
      </c>
      <c r="I16" s="37"/>
      <c r="J16" s="34"/>
      <c r="K16" s="34"/>
      <c r="L16" s="35">
        <f t="shared" si="12"/>
        <v>0</v>
      </c>
      <c r="M16" s="36" t="str">
        <f t="shared" si="13"/>
        <v>-</v>
      </c>
      <c r="N16" s="37"/>
      <c r="O16" s="34"/>
      <c r="P16" s="34"/>
      <c r="Q16" s="35">
        <f t="shared" si="14"/>
        <v>0</v>
      </c>
      <c r="R16" s="36" t="str">
        <f t="shared" si="15"/>
        <v>-</v>
      </c>
      <c r="S16" s="37"/>
      <c r="T16" s="34"/>
      <c r="U16" s="34"/>
      <c r="V16" s="35">
        <f t="shared" si="16"/>
        <v>0</v>
      </c>
      <c r="W16" s="36" t="str">
        <f t="shared" si="17"/>
        <v>-</v>
      </c>
      <c r="X16" s="37"/>
    </row>
    <row r="17" spans="1:24" ht="31.5" x14ac:dyDescent="0.2">
      <c r="A17" s="38">
        <v>15</v>
      </c>
      <c r="B17" s="39" t="s">
        <v>492</v>
      </c>
      <c r="C17" s="44">
        <f>C15-C16</f>
        <v>536032</v>
      </c>
      <c r="D17" s="44">
        <f t="shared" ref="D17:S17" si="22">D15-D16</f>
        <v>-407867</v>
      </c>
      <c r="E17" s="44">
        <f t="shared" si="22"/>
        <v>-186802</v>
      </c>
      <c r="F17" s="44">
        <f t="shared" si="22"/>
        <v>-229893</v>
      </c>
      <c r="G17" s="44">
        <f t="shared" si="22"/>
        <v>-43091</v>
      </c>
      <c r="H17" s="219">
        <f>IFERROR(G17/ABS(E17), "-")</f>
        <v>-0.23067740174088072</v>
      </c>
      <c r="I17" s="44"/>
      <c r="J17" s="44">
        <f t="shared" si="22"/>
        <v>-30856</v>
      </c>
      <c r="K17" s="44">
        <f t="shared" si="22"/>
        <v>0</v>
      </c>
      <c r="L17" s="44">
        <f>L15-L16</f>
        <v>30856</v>
      </c>
      <c r="M17" s="219">
        <f t="shared" si="13"/>
        <v>1</v>
      </c>
      <c r="N17" s="44"/>
      <c r="O17" s="44">
        <f t="shared" si="22"/>
        <v>247047</v>
      </c>
      <c r="P17" s="44">
        <f t="shared" si="22"/>
        <v>0</v>
      </c>
      <c r="Q17" s="44">
        <f t="shared" si="22"/>
        <v>-247047</v>
      </c>
      <c r="R17" s="219">
        <f t="shared" si="15"/>
        <v>-1</v>
      </c>
      <c r="S17" s="44">
        <f t="shared" si="22"/>
        <v>0</v>
      </c>
      <c r="T17" s="44">
        <f>T15-T16</f>
        <v>-407867</v>
      </c>
      <c r="U17" s="44">
        <f>U15-U16</f>
        <v>0</v>
      </c>
      <c r="V17" s="220">
        <f t="shared" si="16"/>
        <v>407867</v>
      </c>
      <c r="W17" s="219">
        <f>IFERROR(V17/ABS(T17), "-")</f>
        <v>1</v>
      </c>
      <c r="X17" s="221"/>
    </row>
    <row r="18" spans="1:24" ht="31.5" x14ac:dyDescent="0.2">
      <c r="A18" s="28">
        <v>16</v>
      </c>
      <c r="B18" s="33" t="s">
        <v>493</v>
      </c>
      <c r="C18" s="34"/>
      <c r="D18" s="34"/>
      <c r="E18" s="34"/>
      <c r="F18" s="34"/>
      <c r="G18" s="35">
        <f t="shared" si="4"/>
        <v>0</v>
      </c>
      <c r="H18" s="36" t="str">
        <f t="shared" si="0"/>
        <v>-</v>
      </c>
      <c r="I18" s="37"/>
      <c r="J18" s="34"/>
      <c r="K18" s="34"/>
      <c r="L18" s="35">
        <f t="shared" si="12"/>
        <v>0</v>
      </c>
      <c r="M18" s="36" t="str">
        <f t="shared" si="13"/>
        <v>-</v>
      </c>
      <c r="N18" s="37"/>
      <c r="O18" s="34"/>
      <c r="P18" s="34"/>
      <c r="Q18" s="35">
        <f t="shared" si="14"/>
        <v>0</v>
      </c>
      <c r="R18" s="36" t="str">
        <f t="shared" si="15"/>
        <v>-</v>
      </c>
      <c r="S18" s="37"/>
      <c r="T18" s="34"/>
      <c r="U18" s="34"/>
      <c r="V18" s="35">
        <f t="shared" si="16"/>
        <v>0</v>
      </c>
      <c r="W18" s="36" t="str">
        <f t="shared" si="17"/>
        <v>-</v>
      </c>
      <c r="X18" s="37"/>
    </row>
    <row r="19" spans="1:24" x14ac:dyDescent="0.2">
      <c r="A19" s="28">
        <v>17</v>
      </c>
      <c r="B19" s="33" t="s">
        <v>494</v>
      </c>
      <c r="C19" s="34"/>
      <c r="D19" s="34"/>
      <c r="E19" s="34"/>
      <c r="F19" s="34"/>
      <c r="G19" s="35">
        <f t="shared" si="4"/>
        <v>0</v>
      </c>
      <c r="H19" s="36" t="str">
        <f t="shared" si="0"/>
        <v>-</v>
      </c>
      <c r="I19" s="37"/>
      <c r="J19" s="34"/>
      <c r="K19" s="34"/>
      <c r="L19" s="35">
        <f t="shared" si="12"/>
        <v>0</v>
      </c>
      <c r="M19" s="36" t="str">
        <f t="shared" si="13"/>
        <v>-</v>
      </c>
      <c r="N19" s="37"/>
      <c r="O19" s="34"/>
      <c r="P19" s="34"/>
      <c r="Q19" s="35">
        <f t="shared" si="14"/>
        <v>0</v>
      </c>
      <c r="R19" s="36" t="str">
        <f t="shared" si="15"/>
        <v>-</v>
      </c>
      <c r="S19" s="37"/>
      <c r="T19" s="34"/>
      <c r="U19" s="34"/>
      <c r="V19" s="35">
        <f t="shared" si="16"/>
        <v>0</v>
      </c>
      <c r="W19" s="36" t="str">
        <f t="shared" si="17"/>
        <v>-</v>
      </c>
      <c r="X19" s="37"/>
    </row>
    <row r="20" spans="1:24" x14ac:dyDescent="0.2">
      <c r="A20" s="406">
        <v>18</v>
      </c>
      <c r="B20" s="407" t="s">
        <v>495</v>
      </c>
      <c r="C20" s="408">
        <f>C17-C18-C19</f>
        <v>536032</v>
      </c>
      <c r="D20" s="408">
        <f t="shared" ref="D20:U20" si="23">D17-D18-D19</f>
        <v>-407867</v>
      </c>
      <c r="E20" s="408">
        <f t="shared" si="23"/>
        <v>-186802</v>
      </c>
      <c r="F20" s="408">
        <f t="shared" si="23"/>
        <v>-229893</v>
      </c>
      <c r="G20" s="408">
        <f t="shared" si="23"/>
        <v>-43091</v>
      </c>
      <c r="H20" s="409">
        <f t="shared" si="0"/>
        <v>-0.23067740174088072</v>
      </c>
      <c r="I20" s="408"/>
      <c r="J20" s="408">
        <f t="shared" si="23"/>
        <v>-30856</v>
      </c>
      <c r="K20" s="408">
        <f t="shared" si="23"/>
        <v>0</v>
      </c>
      <c r="L20" s="408">
        <f t="shared" si="23"/>
        <v>30856</v>
      </c>
      <c r="M20" s="409">
        <f t="shared" si="13"/>
        <v>1</v>
      </c>
      <c r="N20" s="408"/>
      <c r="O20" s="408">
        <f t="shared" si="23"/>
        <v>247047</v>
      </c>
      <c r="P20" s="408">
        <f t="shared" si="23"/>
        <v>0</v>
      </c>
      <c r="Q20" s="408">
        <f t="shared" si="23"/>
        <v>-247047</v>
      </c>
      <c r="R20" s="409">
        <f t="shared" si="15"/>
        <v>-1</v>
      </c>
      <c r="S20" s="408">
        <f t="shared" si="23"/>
        <v>0</v>
      </c>
      <c r="T20" s="408">
        <f t="shared" si="23"/>
        <v>-407867</v>
      </c>
      <c r="U20" s="40">
        <f t="shared" si="23"/>
        <v>0</v>
      </c>
      <c r="V20" s="41">
        <f t="shared" si="16"/>
        <v>407867</v>
      </c>
      <c r="W20" s="42">
        <f>IFERROR(V20/ABS(T20), "-")</f>
        <v>1</v>
      </c>
      <c r="X20" s="43"/>
    </row>
    <row r="21" spans="1:24" x14ac:dyDescent="0.2">
      <c r="A21" s="45">
        <v>19</v>
      </c>
      <c r="B21" s="46" t="s">
        <v>496</v>
      </c>
      <c r="C21" s="47"/>
      <c r="D21" s="47"/>
      <c r="E21" s="47"/>
      <c r="F21" s="47"/>
      <c r="G21" s="48"/>
      <c r="H21" s="49"/>
      <c r="I21" s="50"/>
      <c r="J21" s="47"/>
      <c r="K21" s="47"/>
      <c r="L21" s="48"/>
      <c r="M21" s="49"/>
      <c r="N21" s="50"/>
      <c r="O21" s="47"/>
      <c r="P21" s="47"/>
      <c r="Q21" s="48"/>
      <c r="R21" s="49"/>
      <c r="S21" s="50"/>
      <c r="T21" s="47"/>
      <c r="U21" s="47"/>
      <c r="V21" s="48"/>
      <c r="W21" s="49"/>
      <c r="X21" s="50"/>
    </row>
    <row r="22" spans="1:24" ht="19.5" x14ac:dyDescent="0.2">
      <c r="A22" s="22"/>
      <c r="B22" s="23"/>
      <c r="C22" s="24"/>
      <c r="D22" s="24"/>
      <c r="E22" s="24"/>
      <c r="F22" s="24"/>
      <c r="G22" s="25"/>
      <c r="H22" s="26"/>
      <c r="I22" s="27"/>
      <c r="J22" s="24"/>
      <c r="K22" s="24"/>
      <c r="L22" s="25"/>
      <c r="M22" s="26"/>
      <c r="N22" s="27"/>
      <c r="O22" s="24"/>
      <c r="P22" s="24"/>
      <c r="Q22" s="25"/>
      <c r="R22" s="26"/>
      <c r="S22" s="27"/>
      <c r="T22" s="24"/>
      <c r="U22" s="24"/>
      <c r="V22" s="25"/>
      <c r="W22" s="26"/>
      <c r="X22" s="27"/>
    </row>
    <row r="23" spans="1:24" x14ac:dyDescent="0.2">
      <c r="A23" s="529" t="s">
        <v>497</v>
      </c>
      <c r="B23" s="529"/>
      <c r="C23" s="52"/>
      <c r="D23" s="52"/>
      <c r="E23" s="52"/>
      <c r="F23" s="52"/>
      <c r="G23" s="52"/>
      <c r="H23" s="7"/>
      <c r="I23" s="7"/>
      <c r="J23" s="7"/>
      <c r="K23" s="7"/>
      <c r="L23" s="7"/>
      <c r="M23" s="7"/>
      <c r="N23" s="7"/>
      <c r="O23" s="7"/>
      <c r="P23" s="7"/>
      <c r="Q23" s="7"/>
      <c r="R23" s="7"/>
      <c r="S23" s="7"/>
      <c r="T23" s="7"/>
      <c r="U23" s="7"/>
      <c r="V23" s="7"/>
      <c r="W23" s="7"/>
      <c r="X23" s="7"/>
    </row>
    <row r="24" spans="1:24" ht="35.25" customHeight="1" x14ac:dyDescent="0.2">
      <c r="A24" s="536" t="s">
        <v>573</v>
      </c>
      <c r="B24" s="536"/>
      <c r="C24" s="536"/>
      <c r="D24" s="536"/>
      <c r="E24" s="536"/>
      <c r="F24" s="211"/>
      <c r="G24" s="211"/>
    </row>
    <row r="25" spans="1:24" ht="18.95" customHeight="1" x14ac:dyDescent="0.2">
      <c r="A25" s="537" t="s">
        <v>501</v>
      </c>
      <c r="B25" s="537"/>
      <c r="C25" s="537"/>
      <c r="D25" s="537"/>
      <c r="E25" s="537"/>
      <c r="F25" s="537"/>
      <c r="G25" s="537"/>
      <c r="H25" s="7"/>
      <c r="I25" s="7"/>
      <c r="J25" s="7"/>
      <c r="K25" s="7"/>
      <c r="L25" s="7"/>
      <c r="M25" s="7"/>
      <c r="N25" s="7"/>
      <c r="O25" s="7"/>
      <c r="P25" s="7"/>
      <c r="Q25" s="7"/>
      <c r="R25" s="7"/>
      <c r="S25" s="7"/>
      <c r="T25" s="7"/>
      <c r="U25" s="7"/>
      <c r="V25" s="7"/>
      <c r="W25" s="7"/>
      <c r="X25" s="7"/>
    </row>
    <row r="26" spans="1:24" x14ac:dyDescent="0.2">
      <c r="A26" s="7"/>
      <c r="B26" s="7"/>
      <c r="C26" s="7"/>
      <c r="D26" s="7"/>
      <c r="E26" s="7"/>
      <c r="F26" s="7"/>
      <c r="G26" s="7"/>
      <c r="H26" s="7"/>
      <c r="I26" s="7"/>
      <c r="J26" s="7"/>
      <c r="K26" s="7"/>
      <c r="L26" s="7"/>
      <c r="M26" s="7"/>
      <c r="N26" s="7"/>
      <c r="O26" s="7"/>
      <c r="P26" s="7"/>
      <c r="Q26" s="7"/>
      <c r="R26" s="7"/>
      <c r="S26" s="7"/>
      <c r="T26" s="7"/>
      <c r="U26" s="7"/>
      <c r="V26" s="7"/>
      <c r="W26" s="7"/>
      <c r="X26" s="7"/>
    </row>
    <row r="27" spans="1:24" x14ac:dyDescent="0.2">
      <c r="A27" s="7"/>
      <c r="B27" s="7"/>
      <c r="C27" s="7"/>
      <c r="D27" s="7"/>
      <c r="E27" s="7"/>
      <c r="F27" s="7"/>
      <c r="G27" s="7"/>
      <c r="H27" s="7"/>
      <c r="I27" s="7"/>
      <c r="J27" s="7"/>
      <c r="K27" s="7"/>
      <c r="L27" s="7"/>
      <c r="M27" s="7"/>
      <c r="N27" s="7"/>
      <c r="O27" s="7"/>
      <c r="P27" s="7"/>
      <c r="Q27" s="7"/>
      <c r="R27" s="7"/>
      <c r="S27" s="7"/>
      <c r="T27" s="7"/>
      <c r="U27" s="7"/>
      <c r="V27" s="7"/>
      <c r="W27" s="7"/>
      <c r="X27" s="7"/>
    </row>
    <row r="28" spans="1:24" ht="18.75" x14ac:dyDescent="0.2">
      <c r="A28" s="10"/>
      <c r="B28" s="9"/>
      <c r="C28" s="8"/>
      <c r="D28" s="8"/>
      <c r="E28" s="8"/>
      <c r="F28" s="8"/>
      <c r="G28" s="8"/>
      <c r="H28" s="8"/>
      <c r="I28" s="8"/>
      <c r="J28" s="8"/>
      <c r="K28" s="8"/>
      <c r="L28" s="8"/>
      <c r="M28" s="8"/>
      <c r="N28" s="8"/>
      <c r="O28" s="8"/>
      <c r="P28" s="8"/>
      <c r="Q28" s="8"/>
      <c r="R28" s="8"/>
      <c r="S28" s="8"/>
      <c r="T28" s="8"/>
      <c r="U28" s="8"/>
      <c r="V28" s="8"/>
      <c r="W28" s="8"/>
      <c r="X28" s="8"/>
    </row>
    <row r="29" spans="1:24" ht="18.75" x14ac:dyDescent="0.2">
      <c r="A29" s="10"/>
      <c r="B29" s="9"/>
      <c r="C29" s="8"/>
      <c r="D29" s="8"/>
      <c r="E29" s="8"/>
      <c r="F29" s="8"/>
      <c r="G29" s="8"/>
      <c r="H29" s="8"/>
      <c r="I29" s="8"/>
      <c r="J29" s="8"/>
      <c r="K29" s="8"/>
      <c r="L29" s="8"/>
      <c r="M29" s="8"/>
      <c r="N29" s="8"/>
      <c r="O29" s="8"/>
      <c r="P29" s="8"/>
      <c r="Q29" s="8"/>
      <c r="R29" s="8"/>
      <c r="S29" s="8"/>
      <c r="T29" s="8"/>
      <c r="U29" s="8"/>
      <c r="V29" s="8"/>
      <c r="W29" s="8"/>
      <c r="X29" s="8"/>
    </row>
    <row r="30" spans="1:24" ht="18.75" x14ac:dyDescent="0.2">
      <c r="A30" s="10"/>
      <c r="B30" s="9"/>
      <c r="C30" s="8"/>
      <c r="D30" s="8"/>
      <c r="E30" s="8"/>
      <c r="F30" s="8"/>
      <c r="G30" s="8"/>
      <c r="H30" s="8"/>
      <c r="I30" s="8"/>
      <c r="J30" s="8"/>
      <c r="K30" s="8"/>
      <c r="L30" s="8"/>
      <c r="M30" s="8"/>
      <c r="N30" s="8"/>
      <c r="O30" s="8"/>
      <c r="P30" s="8"/>
      <c r="Q30" s="8"/>
      <c r="R30" s="8"/>
      <c r="S30" s="8"/>
      <c r="T30" s="8"/>
      <c r="U30" s="8"/>
      <c r="V30" s="8"/>
      <c r="W30" s="8"/>
      <c r="X30" s="8"/>
    </row>
    <row r="31" spans="1:24" ht="18.75" x14ac:dyDescent="0.2">
      <c r="A31" s="10"/>
      <c r="B31" s="9"/>
      <c r="C31" s="8"/>
      <c r="D31" s="8"/>
      <c r="E31" s="8"/>
      <c r="F31" s="8"/>
      <c r="G31" s="8"/>
      <c r="H31" s="8"/>
      <c r="I31" s="8"/>
      <c r="J31" s="8"/>
      <c r="K31" s="8"/>
      <c r="L31" s="8"/>
      <c r="M31" s="8"/>
      <c r="N31" s="8"/>
      <c r="O31" s="8"/>
      <c r="P31" s="8"/>
      <c r="Q31" s="8"/>
      <c r="R31" s="8"/>
      <c r="S31" s="8"/>
      <c r="T31" s="8"/>
      <c r="U31" s="8"/>
      <c r="V31" s="8"/>
      <c r="W31" s="8"/>
      <c r="X31" s="8"/>
    </row>
    <row r="32" spans="1:24" ht="18.75" x14ac:dyDescent="0.2">
      <c r="A32" s="10"/>
      <c r="B32" s="9"/>
      <c r="C32" s="8"/>
      <c r="D32" s="8"/>
      <c r="E32" s="8"/>
      <c r="F32" s="8"/>
      <c r="G32" s="8"/>
      <c r="H32" s="8"/>
      <c r="I32" s="8"/>
      <c r="J32" s="8"/>
      <c r="K32" s="8"/>
      <c r="L32" s="8"/>
      <c r="M32" s="8"/>
      <c r="N32" s="8"/>
      <c r="O32" s="8"/>
      <c r="P32" s="8"/>
      <c r="Q32" s="8"/>
      <c r="R32" s="8"/>
      <c r="S32" s="8"/>
      <c r="T32" s="8"/>
      <c r="U32" s="8"/>
      <c r="V32" s="8"/>
      <c r="W32" s="8"/>
      <c r="X32" s="8"/>
    </row>
    <row r="33" spans="1:24" ht="18.75" x14ac:dyDescent="0.2">
      <c r="A33" s="10"/>
      <c r="B33" s="9"/>
      <c r="C33" s="8"/>
      <c r="D33" s="8"/>
      <c r="E33" s="8"/>
      <c r="F33" s="8"/>
      <c r="G33" s="8"/>
      <c r="H33" s="8"/>
      <c r="I33" s="8"/>
      <c r="J33" s="8"/>
      <c r="K33" s="8"/>
      <c r="L33" s="8"/>
      <c r="M33" s="8"/>
      <c r="N33" s="8"/>
      <c r="O33" s="8"/>
      <c r="P33" s="8"/>
      <c r="Q33" s="8"/>
      <c r="R33" s="8"/>
      <c r="S33" s="8"/>
      <c r="T33" s="8"/>
      <c r="U33" s="8"/>
      <c r="V33" s="8"/>
      <c r="W33" s="8"/>
      <c r="X33" s="8"/>
    </row>
  </sheetData>
  <sheetProtection formatColumns="0" formatRows="0"/>
  <mergeCells count="3">
    <mergeCell ref="A24:E24"/>
    <mergeCell ref="A25:G25"/>
    <mergeCell ref="A23:B23"/>
  </mergeCells>
  <pageMargins left="0.23622047244094491" right="0.23622047244094491" top="0.74803149606299213" bottom="0.74803149606299213" header="0.31496062992125984" footer="0.31496062992125984"/>
  <pageSetup paperSize="9" scale="55" fitToHeight="0" orientation="landscape"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87"/>
  <sheetViews>
    <sheetView view="pageBreakPreview" zoomScale="70" zoomScaleNormal="85" zoomScaleSheetLayoutView="70" workbookViewId="0">
      <pane ySplit="1" topLeftCell="A2" activePane="bottomLeft" state="frozen"/>
      <selection pane="bottomLeft" activeCell="M2" sqref="M2"/>
    </sheetView>
  </sheetViews>
  <sheetFormatPr defaultColWidth="9.140625" defaultRowHeight="15.75" outlineLevelCol="1" x14ac:dyDescent="0.2"/>
  <cols>
    <col min="1" max="1" width="8.42578125" style="54" bestFit="1" customWidth="1"/>
    <col min="2" max="2" width="45.28515625" style="54" customWidth="1"/>
    <col min="3" max="5" width="17.7109375" style="63" customWidth="1"/>
    <col min="6" max="6" width="17.7109375" style="63" hidden="1" customWidth="1" outlineLevel="1"/>
    <col min="7" max="8" width="17.7109375" style="76" hidden="1" customWidth="1" outlineLevel="1"/>
    <col min="9" max="9" width="43.28515625" style="63" hidden="1" customWidth="1" outlineLevel="1"/>
    <col min="10" max="10" width="17.7109375" style="63" customWidth="1" collapsed="1"/>
    <col min="11" max="11" width="17.7109375" style="63" customWidth="1" outlineLevel="1"/>
    <col min="12" max="13" width="17.7109375" style="76" customWidth="1" outlineLevel="1"/>
    <col min="14" max="14" width="43.28515625" style="63" customWidth="1" outlineLevel="1"/>
    <col min="15" max="15" width="17.7109375" style="63" customWidth="1"/>
    <col min="16" max="16" width="17.7109375" style="63" hidden="1" customWidth="1" outlineLevel="1"/>
    <col min="17" max="18" width="17.7109375" style="76" hidden="1" customWidth="1" outlineLevel="1"/>
    <col min="19" max="19" width="43.28515625" style="63" hidden="1" customWidth="1" outlineLevel="1"/>
    <col min="20" max="20" width="19.5703125" style="63" customWidth="1" collapsed="1"/>
    <col min="21" max="21" width="17.7109375" style="63" hidden="1" customWidth="1" outlineLevel="1"/>
    <col min="22" max="23" width="17.7109375" style="76" hidden="1" customWidth="1" outlineLevel="1"/>
    <col min="24" max="24" width="43.28515625" style="63" hidden="1" customWidth="1" outlineLevel="1"/>
    <col min="25" max="25" width="9.140625" style="63" collapsed="1"/>
    <col min="26" max="16384" width="9.140625" style="63"/>
  </cols>
  <sheetData>
    <row r="1" spans="1:24" s="54" customFormat="1" ht="63" x14ac:dyDescent="0.2">
      <c r="A1" s="28" t="s">
        <v>0</v>
      </c>
      <c r="B1" s="53" t="s">
        <v>571</v>
      </c>
      <c r="C1" s="29" t="s">
        <v>637</v>
      </c>
      <c r="D1" s="29" t="s">
        <v>638</v>
      </c>
      <c r="E1" s="29" t="s">
        <v>639</v>
      </c>
      <c r="F1" s="29" t="s">
        <v>643</v>
      </c>
      <c r="G1" s="30" t="s">
        <v>409</v>
      </c>
      <c r="H1" s="31" t="s">
        <v>410</v>
      </c>
      <c r="I1" s="29" t="s">
        <v>569</v>
      </c>
      <c r="J1" s="29" t="s">
        <v>640</v>
      </c>
      <c r="K1" s="29" t="s">
        <v>703</v>
      </c>
      <c r="L1" s="30" t="s">
        <v>704</v>
      </c>
      <c r="M1" s="31" t="s">
        <v>705</v>
      </c>
      <c r="N1" s="29" t="s">
        <v>569</v>
      </c>
      <c r="O1" s="29" t="s">
        <v>641</v>
      </c>
      <c r="P1" s="29" t="s">
        <v>486</v>
      </c>
      <c r="Q1" s="30" t="s">
        <v>409</v>
      </c>
      <c r="R1" s="31" t="s">
        <v>410</v>
      </c>
      <c r="S1" s="29" t="s">
        <v>569</v>
      </c>
      <c r="T1" s="29" t="s">
        <v>642</v>
      </c>
      <c r="U1" s="29" t="s">
        <v>487</v>
      </c>
      <c r="V1" s="30" t="s">
        <v>409</v>
      </c>
      <c r="W1" s="31" t="s">
        <v>410</v>
      </c>
      <c r="X1" s="29" t="s">
        <v>569</v>
      </c>
    </row>
    <row r="2" spans="1:24" s="54" customFormat="1" ht="12" customHeight="1" x14ac:dyDescent="0.2">
      <c r="A2" s="55">
        <v>1</v>
      </c>
      <c r="B2" s="29">
        <v>2</v>
      </c>
      <c r="C2" s="29">
        <v>3</v>
      </c>
      <c r="D2" s="29">
        <v>4</v>
      </c>
      <c r="E2" s="29">
        <v>5</v>
      </c>
      <c r="F2" s="29">
        <v>6</v>
      </c>
      <c r="G2" s="30">
        <v>7</v>
      </c>
      <c r="H2" s="32">
        <v>8</v>
      </c>
      <c r="I2" s="29">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s="54" customFormat="1" x14ac:dyDescent="0.2">
      <c r="A3" s="432">
        <v>1000</v>
      </c>
      <c r="B3" s="394" t="s">
        <v>318</v>
      </c>
      <c r="C3" s="412">
        <f>C4+C11</f>
        <v>13217727</v>
      </c>
      <c r="D3" s="412">
        <f>D4+D11</f>
        <v>13626422</v>
      </c>
      <c r="E3" s="412">
        <f t="shared" ref="E3:F3" si="0">E4+E11</f>
        <v>13387266</v>
      </c>
      <c r="F3" s="412">
        <f t="shared" si="0"/>
        <v>13156321</v>
      </c>
      <c r="G3" s="413">
        <f t="shared" ref="G3:G20" si="1">F3-E3</f>
        <v>-230945</v>
      </c>
      <c r="H3" s="414">
        <f t="shared" ref="H3:H20" si="2">IFERROR(G3/ABS(E3), "-")</f>
        <v>-1.7251095182541379E-2</v>
      </c>
      <c r="I3" s="415"/>
      <c r="J3" s="412">
        <f>J4+J11+J21</f>
        <v>13588164</v>
      </c>
      <c r="K3" s="412">
        <f>K4+K11+K21</f>
        <v>0</v>
      </c>
      <c r="L3" s="413">
        <f t="shared" ref="L3:L19" si="3">K3-J3</f>
        <v>-13588164</v>
      </c>
      <c r="M3" s="414">
        <f t="shared" ref="M3:M20" si="4">IFERROR(L3/ABS(J3), "-")</f>
        <v>-1</v>
      </c>
      <c r="N3" s="415"/>
      <c r="O3" s="412">
        <f>O4+O11+O21</f>
        <v>13704608</v>
      </c>
      <c r="P3" s="412">
        <f>P4+P11+P21</f>
        <v>0</v>
      </c>
      <c r="Q3" s="413">
        <f t="shared" ref="Q3:Q20" si="5">P3-O3</f>
        <v>-13704608</v>
      </c>
      <c r="R3" s="414">
        <f t="shared" ref="R3:R20" si="6">IFERROR(Q3/ABS(O3), "-")</f>
        <v>-1</v>
      </c>
      <c r="S3" s="415"/>
      <c r="T3" s="412">
        <f>T4+T11+T21</f>
        <v>13626422</v>
      </c>
      <c r="U3" s="412">
        <f>U4+U11+U21</f>
        <v>0</v>
      </c>
      <c r="V3" s="413">
        <f t="shared" ref="V3:V20" si="7">U3-T3</f>
        <v>-13626422</v>
      </c>
      <c r="W3" s="414">
        <f t="shared" ref="W3:W20" si="8">IFERROR(V3/ABS(T3), "-")</f>
        <v>-1</v>
      </c>
      <c r="X3" s="415"/>
    </row>
    <row r="4" spans="1:24" s="54" customFormat="1" x14ac:dyDescent="0.2">
      <c r="A4" s="216">
        <v>1100</v>
      </c>
      <c r="B4" s="78" t="s">
        <v>319</v>
      </c>
      <c r="C4" s="57">
        <f>C5+C6+C7+C8+C9+C10</f>
        <v>5961</v>
      </c>
      <c r="D4" s="57">
        <f>D5+D6+D7+D8+D9+D10</f>
        <v>3088</v>
      </c>
      <c r="E4" s="57">
        <f>E5+E6+E7+E8+E9+E10</f>
        <v>5577</v>
      </c>
      <c r="F4" s="57">
        <f>F5+F6+F7+F8+F9+F10</f>
        <v>5474</v>
      </c>
      <c r="G4" s="58">
        <f t="shared" si="1"/>
        <v>-103</v>
      </c>
      <c r="H4" s="42">
        <f t="shared" si="2"/>
        <v>-1.8468710776403083E-2</v>
      </c>
      <c r="I4" s="538"/>
      <c r="J4" s="57">
        <f>J5+J6+J7+J8+J9+J10</f>
        <v>4647</v>
      </c>
      <c r="K4" s="57">
        <f>K5+K6+K7+K8+K9</f>
        <v>0</v>
      </c>
      <c r="L4" s="58">
        <f t="shared" si="3"/>
        <v>-4647</v>
      </c>
      <c r="M4" s="42">
        <f t="shared" si="4"/>
        <v>-1</v>
      </c>
      <c r="N4" s="538"/>
      <c r="O4" s="57">
        <f>O5+O6+O7+O8+O9+O10</f>
        <v>3830</v>
      </c>
      <c r="P4" s="57">
        <f>P5+P6+P7+P8+P9</f>
        <v>0</v>
      </c>
      <c r="Q4" s="58">
        <f>P4-O4</f>
        <v>-3830</v>
      </c>
      <c r="R4" s="42">
        <f t="shared" si="6"/>
        <v>-1</v>
      </c>
      <c r="S4" s="538"/>
      <c r="T4" s="57">
        <f>T5+T6+T7+T8+T9+T10</f>
        <v>3088</v>
      </c>
      <c r="U4" s="57">
        <f>U5+U6+U7+U8+U9</f>
        <v>0</v>
      </c>
      <c r="V4" s="58">
        <f t="shared" si="7"/>
        <v>-3088</v>
      </c>
      <c r="W4" s="42">
        <f t="shared" si="8"/>
        <v>-1</v>
      </c>
      <c r="X4" s="538"/>
    </row>
    <row r="5" spans="1:24" x14ac:dyDescent="0.2">
      <c r="A5" s="340">
        <v>1110</v>
      </c>
      <c r="B5" s="60" t="s">
        <v>476</v>
      </c>
      <c r="C5" s="66"/>
      <c r="D5" s="66"/>
      <c r="E5" s="66"/>
      <c r="F5" s="66"/>
      <c r="G5" s="67">
        <f t="shared" si="1"/>
        <v>0</v>
      </c>
      <c r="H5" s="68" t="str">
        <f t="shared" si="2"/>
        <v>-</v>
      </c>
      <c r="I5" s="539"/>
      <c r="J5" s="66"/>
      <c r="K5" s="66"/>
      <c r="L5" s="67">
        <f t="shared" si="3"/>
        <v>0</v>
      </c>
      <c r="M5" s="68" t="str">
        <f t="shared" si="4"/>
        <v>-</v>
      </c>
      <c r="N5" s="539"/>
      <c r="O5" s="66"/>
      <c r="P5" s="66"/>
      <c r="Q5" s="67">
        <f t="shared" si="5"/>
        <v>0</v>
      </c>
      <c r="R5" s="68" t="str">
        <f t="shared" si="6"/>
        <v>-</v>
      </c>
      <c r="S5" s="539"/>
      <c r="T5" s="66"/>
      <c r="U5" s="66"/>
      <c r="V5" s="67">
        <f t="shared" si="7"/>
        <v>0</v>
      </c>
      <c r="W5" s="68" t="str">
        <f t="shared" si="8"/>
        <v>-</v>
      </c>
      <c r="X5" s="539"/>
    </row>
    <row r="6" spans="1:24" ht="31.5" x14ac:dyDescent="0.2">
      <c r="A6" s="340">
        <v>1120</v>
      </c>
      <c r="B6" s="60" t="s">
        <v>477</v>
      </c>
      <c r="C6" s="66">
        <v>42041</v>
      </c>
      <c r="D6" s="66">
        <v>42622</v>
      </c>
      <c r="E6" s="66">
        <v>42622</v>
      </c>
      <c r="F6" s="66">
        <v>42521</v>
      </c>
      <c r="G6" s="67">
        <f t="shared" si="1"/>
        <v>-101</v>
      </c>
      <c r="H6" s="68">
        <f t="shared" si="2"/>
        <v>-2.3696682464454978E-3</v>
      </c>
      <c r="I6" s="539"/>
      <c r="J6" s="66">
        <v>42622</v>
      </c>
      <c r="K6" s="66"/>
      <c r="L6" s="67">
        <f t="shared" si="3"/>
        <v>-42622</v>
      </c>
      <c r="M6" s="68">
        <f t="shared" si="4"/>
        <v>-1</v>
      </c>
      <c r="N6" s="539"/>
      <c r="O6" s="66">
        <v>42622</v>
      </c>
      <c r="P6" s="66"/>
      <c r="Q6" s="67">
        <f t="shared" si="5"/>
        <v>-42622</v>
      </c>
      <c r="R6" s="68">
        <f t="shared" si="6"/>
        <v>-1</v>
      </c>
      <c r="S6" s="539"/>
      <c r="T6" s="66">
        <f>D6</f>
        <v>42622</v>
      </c>
      <c r="U6" s="66"/>
      <c r="V6" s="67">
        <f t="shared" si="7"/>
        <v>-42622</v>
      </c>
      <c r="W6" s="68">
        <f t="shared" si="8"/>
        <v>-1</v>
      </c>
      <c r="X6" s="539"/>
    </row>
    <row r="7" spans="1:24" x14ac:dyDescent="0.2">
      <c r="A7" s="340">
        <v>1130</v>
      </c>
      <c r="B7" s="60" t="s">
        <v>478</v>
      </c>
      <c r="C7" s="66"/>
      <c r="D7" s="66"/>
      <c r="E7" s="66"/>
      <c r="F7" s="66"/>
      <c r="G7" s="67">
        <f t="shared" si="1"/>
        <v>0</v>
      </c>
      <c r="H7" s="68" t="str">
        <f t="shared" si="2"/>
        <v>-</v>
      </c>
      <c r="I7" s="539"/>
      <c r="J7" s="66"/>
      <c r="K7" s="66"/>
      <c r="L7" s="67">
        <f t="shared" si="3"/>
        <v>0</v>
      </c>
      <c r="M7" s="68" t="str">
        <f t="shared" si="4"/>
        <v>-</v>
      </c>
      <c r="N7" s="539"/>
      <c r="O7" s="66"/>
      <c r="P7" s="66"/>
      <c r="Q7" s="67">
        <f t="shared" si="5"/>
        <v>0</v>
      </c>
      <c r="R7" s="68" t="str">
        <f t="shared" si="6"/>
        <v>-</v>
      </c>
      <c r="S7" s="539"/>
      <c r="T7" s="66"/>
      <c r="U7" s="66"/>
      <c r="V7" s="67">
        <f t="shared" si="7"/>
        <v>0</v>
      </c>
      <c r="W7" s="68" t="str">
        <f t="shared" si="8"/>
        <v>-</v>
      </c>
      <c r="X7" s="539"/>
    </row>
    <row r="8" spans="1:24" x14ac:dyDescent="0.2">
      <c r="A8" s="340">
        <v>1140</v>
      </c>
      <c r="B8" s="60" t="s">
        <v>479</v>
      </c>
      <c r="C8" s="66"/>
      <c r="D8" s="66"/>
      <c r="E8" s="66"/>
      <c r="F8" s="66"/>
      <c r="G8" s="67">
        <f t="shared" si="1"/>
        <v>0</v>
      </c>
      <c r="H8" s="68" t="str">
        <f t="shared" si="2"/>
        <v>-</v>
      </c>
      <c r="I8" s="539"/>
      <c r="J8" s="66"/>
      <c r="K8" s="66"/>
      <c r="L8" s="67">
        <f t="shared" si="3"/>
        <v>0</v>
      </c>
      <c r="M8" s="68" t="str">
        <f t="shared" si="4"/>
        <v>-</v>
      </c>
      <c r="N8" s="539"/>
      <c r="O8" s="66"/>
      <c r="P8" s="66"/>
      <c r="Q8" s="67">
        <f t="shared" si="5"/>
        <v>0</v>
      </c>
      <c r="R8" s="68" t="str">
        <f t="shared" si="6"/>
        <v>-</v>
      </c>
      <c r="S8" s="539"/>
      <c r="T8" s="66"/>
      <c r="U8" s="66"/>
      <c r="V8" s="67">
        <f t="shared" si="7"/>
        <v>0</v>
      </c>
      <c r="W8" s="68" t="str">
        <f t="shared" si="8"/>
        <v>-</v>
      </c>
      <c r="X8" s="539"/>
    </row>
    <row r="9" spans="1:24" ht="31.5" x14ac:dyDescent="0.2">
      <c r="A9" s="340">
        <v>1180</v>
      </c>
      <c r="B9" s="60" t="s">
        <v>480</v>
      </c>
      <c r="C9" s="66"/>
      <c r="D9" s="66"/>
      <c r="E9" s="66"/>
      <c r="F9" s="66"/>
      <c r="G9" s="67">
        <f>F9-E9</f>
        <v>0</v>
      </c>
      <c r="H9" s="68" t="str">
        <f t="shared" si="2"/>
        <v>-</v>
      </c>
      <c r="I9" s="539"/>
      <c r="J9" s="66"/>
      <c r="K9" s="66"/>
      <c r="L9" s="67">
        <f t="shared" si="3"/>
        <v>0</v>
      </c>
      <c r="M9" s="68" t="str">
        <f t="shared" si="4"/>
        <v>-</v>
      </c>
      <c r="N9" s="539"/>
      <c r="O9" s="66"/>
      <c r="P9" s="66"/>
      <c r="Q9" s="67">
        <f t="shared" si="5"/>
        <v>0</v>
      </c>
      <c r="R9" s="68" t="str">
        <f t="shared" si="6"/>
        <v>-</v>
      </c>
      <c r="S9" s="539"/>
      <c r="T9" s="66"/>
      <c r="U9" s="66"/>
      <c r="V9" s="67">
        <f>U9-T9</f>
        <v>0</v>
      </c>
      <c r="W9" s="68" t="str">
        <f>IFERROR(V9/ABS(T9), "-")</f>
        <v>-</v>
      </c>
      <c r="X9" s="539"/>
    </row>
    <row r="10" spans="1:24" ht="31.5" x14ac:dyDescent="0.2">
      <c r="A10" s="340">
        <v>1190</v>
      </c>
      <c r="B10" s="60" t="s">
        <v>604</v>
      </c>
      <c r="C10" s="66">
        <v>-36080</v>
      </c>
      <c r="D10" s="66">
        <v>-39534</v>
      </c>
      <c r="E10" s="66">
        <v>-37045</v>
      </c>
      <c r="F10" s="66">
        <v>-37047</v>
      </c>
      <c r="G10" s="67">
        <f>F10-E10</f>
        <v>-2</v>
      </c>
      <c r="H10" s="68">
        <f t="shared" ref="H10" si="9">IFERROR(G10/ABS(E10), "-")</f>
        <v>-5.3988392495613442E-5</v>
      </c>
      <c r="I10" s="543"/>
      <c r="J10" s="66">
        <v>-37975</v>
      </c>
      <c r="K10" s="66"/>
      <c r="L10" s="67">
        <f t="shared" si="3"/>
        <v>37975</v>
      </c>
      <c r="M10" s="68">
        <f t="shared" si="4"/>
        <v>1</v>
      </c>
      <c r="N10" s="543"/>
      <c r="O10" s="66">
        <v>-38792</v>
      </c>
      <c r="P10" s="66"/>
      <c r="Q10" s="67">
        <f t="shared" si="5"/>
        <v>38792</v>
      </c>
      <c r="R10" s="68">
        <f t="shared" si="6"/>
        <v>1</v>
      </c>
      <c r="S10" s="543"/>
      <c r="T10" s="66">
        <f>D10</f>
        <v>-39534</v>
      </c>
      <c r="U10" s="66"/>
      <c r="V10" s="67">
        <f>U10-T10</f>
        <v>39534</v>
      </c>
      <c r="W10" s="68">
        <f>IFERROR(V10/ABS(T10), "-")</f>
        <v>1</v>
      </c>
      <c r="X10" s="543"/>
    </row>
    <row r="11" spans="1:24" s="54" customFormat="1" x14ac:dyDescent="0.2">
      <c r="A11" s="216">
        <v>1200</v>
      </c>
      <c r="B11" s="78" t="s">
        <v>320</v>
      </c>
      <c r="C11" s="57">
        <f>C12+C13+C14+C15+C16+C17+C18+C19+C20</f>
        <v>13211766</v>
      </c>
      <c r="D11" s="57">
        <f>D12+D13+D14+D15+D16+D17+D18+D19+D20</f>
        <v>13623334</v>
      </c>
      <c r="E11" s="57">
        <f>E12+E13+E14+E15+E16+E17+E18+E19+E20</f>
        <v>13381689</v>
      </c>
      <c r="F11" s="57">
        <f t="shared" ref="F11" si="10">F12+F13+F14+F15+F16+F17+F18+F19+F20</f>
        <v>13150847</v>
      </c>
      <c r="G11" s="421">
        <f t="shared" si="1"/>
        <v>-230842</v>
      </c>
      <c r="H11" s="42">
        <f t="shared" si="2"/>
        <v>-1.7250587724763296E-2</v>
      </c>
      <c r="I11" s="547" t="s">
        <v>698</v>
      </c>
      <c r="J11" s="57">
        <f>J12+J13+J14+J15+J16+J17+J18+J19+J20</f>
        <v>13583517</v>
      </c>
      <c r="K11" s="57">
        <f t="shared" ref="K11" si="11">K12+K13+K14+K15+K16+K17+K18+K19+K20</f>
        <v>0</v>
      </c>
      <c r="L11" s="421">
        <f t="shared" si="3"/>
        <v>-13583517</v>
      </c>
      <c r="M11" s="42">
        <f t="shared" si="4"/>
        <v>-1</v>
      </c>
      <c r="N11" s="538"/>
      <c r="O11" s="57">
        <f t="shared" ref="O11" si="12">O12+O13+O14+O15+O16+O17+O18+O19+O20</f>
        <v>13700778</v>
      </c>
      <c r="P11" s="57">
        <f t="shared" ref="P11" si="13">P12+P13+P14+P15+P16+P17+P18+P19+P20</f>
        <v>0</v>
      </c>
      <c r="Q11" s="421">
        <f t="shared" si="5"/>
        <v>-13700778</v>
      </c>
      <c r="R11" s="42">
        <f t="shared" si="6"/>
        <v>-1</v>
      </c>
      <c r="S11" s="538"/>
      <c r="T11" s="57">
        <f>T12+T13+T14+T15+T16+T17+T18+T19+T20</f>
        <v>13623334</v>
      </c>
      <c r="U11" s="57">
        <f t="shared" ref="U11" si="14">U12+U13+U14+U15+U16+U17+U18+U19+U20</f>
        <v>0</v>
      </c>
      <c r="V11" s="58">
        <f t="shared" si="7"/>
        <v>-13623334</v>
      </c>
      <c r="W11" s="42">
        <f t="shared" si="8"/>
        <v>-1</v>
      </c>
      <c r="X11" s="538"/>
    </row>
    <row r="12" spans="1:24" x14ac:dyDescent="0.2">
      <c r="A12" s="340">
        <v>1210</v>
      </c>
      <c r="B12" s="60" t="s">
        <v>606</v>
      </c>
      <c r="C12" s="66">
        <v>14918975</v>
      </c>
      <c r="D12" s="66">
        <v>15561019</v>
      </c>
      <c r="E12" s="66">
        <v>14918975</v>
      </c>
      <c r="F12" s="66">
        <v>14918975</v>
      </c>
      <c r="G12" s="67">
        <f t="shared" si="1"/>
        <v>0</v>
      </c>
      <c r="H12" s="68">
        <f t="shared" si="2"/>
        <v>0</v>
      </c>
      <c r="I12" s="548"/>
      <c r="J12" s="66">
        <v>15369019</v>
      </c>
      <c r="K12" s="66"/>
      <c r="L12" s="67">
        <f t="shared" si="3"/>
        <v>-15369019</v>
      </c>
      <c r="M12" s="68">
        <f t="shared" si="4"/>
        <v>-1</v>
      </c>
      <c r="N12" s="539"/>
      <c r="O12" s="66">
        <v>15561019</v>
      </c>
      <c r="P12" s="66"/>
      <c r="Q12" s="67">
        <f t="shared" si="5"/>
        <v>-15561019</v>
      </c>
      <c r="R12" s="68">
        <f t="shared" si="6"/>
        <v>-1</v>
      </c>
      <c r="S12" s="539"/>
      <c r="T12" s="66">
        <f>D12</f>
        <v>15561019</v>
      </c>
      <c r="U12" s="66"/>
      <c r="V12" s="67">
        <f t="shared" si="7"/>
        <v>-15561019</v>
      </c>
      <c r="W12" s="68">
        <f t="shared" si="8"/>
        <v>-1</v>
      </c>
      <c r="X12" s="539"/>
    </row>
    <row r="13" spans="1:24" x14ac:dyDescent="0.2">
      <c r="A13" s="340">
        <v>1220</v>
      </c>
      <c r="B13" s="60" t="s">
        <v>605</v>
      </c>
      <c r="C13" s="66">
        <v>404235</v>
      </c>
      <c r="D13" s="66">
        <v>404235</v>
      </c>
      <c r="E13" s="66">
        <v>404235</v>
      </c>
      <c r="F13" s="66">
        <v>404235</v>
      </c>
      <c r="G13" s="67">
        <f t="shared" si="1"/>
        <v>0</v>
      </c>
      <c r="H13" s="68">
        <f t="shared" si="2"/>
        <v>0</v>
      </c>
      <c r="I13" s="548"/>
      <c r="J13" s="66">
        <v>404235</v>
      </c>
      <c r="K13" s="66"/>
      <c r="L13" s="67">
        <f t="shared" si="3"/>
        <v>-404235</v>
      </c>
      <c r="M13" s="68">
        <f t="shared" si="4"/>
        <v>-1</v>
      </c>
      <c r="N13" s="539"/>
      <c r="O13" s="66">
        <v>404235</v>
      </c>
      <c r="P13" s="66"/>
      <c r="Q13" s="67">
        <f t="shared" si="5"/>
        <v>-404235</v>
      </c>
      <c r="R13" s="68">
        <f t="shared" si="6"/>
        <v>-1</v>
      </c>
      <c r="S13" s="539"/>
      <c r="T13" s="66">
        <f t="shared" ref="T13:T15" si="15">D13</f>
        <v>404235</v>
      </c>
      <c r="U13" s="66"/>
      <c r="V13" s="67">
        <f t="shared" si="7"/>
        <v>-404235</v>
      </c>
      <c r="W13" s="68">
        <f t="shared" si="8"/>
        <v>-1</v>
      </c>
      <c r="X13" s="539"/>
    </row>
    <row r="14" spans="1:24" x14ac:dyDescent="0.2">
      <c r="A14" s="340">
        <v>1230</v>
      </c>
      <c r="B14" s="60" t="s">
        <v>607</v>
      </c>
      <c r="C14" s="66">
        <v>1019539</v>
      </c>
      <c r="D14" s="66">
        <v>1097045</v>
      </c>
      <c r="E14" s="66">
        <v>1031525</v>
      </c>
      <c r="F14" s="66">
        <v>1027181</v>
      </c>
      <c r="G14" s="67">
        <f t="shared" si="1"/>
        <v>-4344</v>
      </c>
      <c r="H14" s="68">
        <f t="shared" si="2"/>
        <v>-4.2112406388599404E-3</v>
      </c>
      <c r="I14" s="548"/>
      <c r="J14" s="66">
        <v>1083045</v>
      </c>
      <c r="K14" s="66"/>
      <c r="L14" s="67">
        <f t="shared" si="3"/>
        <v>-1083045</v>
      </c>
      <c r="M14" s="68">
        <f t="shared" si="4"/>
        <v>-1</v>
      </c>
      <c r="N14" s="539"/>
      <c r="O14" s="66">
        <v>1096045</v>
      </c>
      <c r="P14" s="66"/>
      <c r="Q14" s="67">
        <f t="shared" si="5"/>
        <v>-1096045</v>
      </c>
      <c r="R14" s="68">
        <f t="shared" si="6"/>
        <v>-1</v>
      </c>
      <c r="S14" s="539"/>
      <c r="T14" s="66">
        <f t="shared" si="15"/>
        <v>1097045</v>
      </c>
      <c r="U14" s="66"/>
      <c r="V14" s="67">
        <f t="shared" si="7"/>
        <v>-1097045</v>
      </c>
      <c r="W14" s="68">
        <f t="shared" si="8"/>
        <v>-1</v>
      </c>
      <c r="X14" s="539"/>
    </row>
    <row r="15" spans="1:24" ht="15.6" customHeight="1" x14ac:dyDescent="0.2">
      <c r="A15" s="340">
        <v>1240</v>
      </c>
      <c r="B15" s="60" t="s">
        <v>608</v>
      </c>
      <c r="C15" s="66">
        <v>123265</v>
      </c>
      <c r="D15" s="66">
        <v>110841</v>
      </c>
      <c r="E15" s="66">
        <v>352884</v>
      </c>
      <c r="F15" s="66">
        <v>125189</v>
      </c>
      <c r="G15" s="67">
        <f t="shared" si="1"/>
        <v>-227695</v>
      </c>
      <c r="H15" s="68">
        <f t="shared" si="2"/>
        <v>-0.64524036227202142</v>
      </c>
      <c r="I15" s="548"/>
      <c r="J15" s="66">
        <v>122841</v>
      </c>
      <c r="K15" s="66"/>
      <c r="L15" s="67">
        <f t="shared" si="3"/>
        <v>-122841</v>
      </c>
      <c r="M15" s="68">
        <f t="shared" si="4"/>
        <v>-1</v>
      </c>
      <c r="N15" s="539"/>
      <c r="O15" s="66">
        <v>110841</v>
      </c>
      <c r="P15" s="66"/>
      <c r="Q15" s="67">
        <f t="shared" si="5"/>
        <v>-110841</v>
      </c>
      <c r="R15" s="68">
        <f t="shared" si="6"/>
        <v>-1</v>
      </c>
      <c r="S15" s="539"/>
      <c r="T15" s="66">
        <f t="shared" si="15"/>
        <v>110841</v>
      </c>
      <c r="U15" s="66"/>
      <c r="V15" s="67">
        <f t="shared" si="7"/>
        <v>-110841</v>
      </c>
      <c r="W15" s="68">
        <f t="shared" si="8"/>
        <v>-1</v>
      </c>
      <c r="X15" s="539"/>
    </row>
    <row r="16" spans="1:24" x14ac:dyDescent="0.2">
      <c r="A16" s="340">
        <v>1250</v>
      </c>
      <c r="B16" s="60" t="s">
        <v>609</v>
      </c>
      <c r="C16" s="66"/>
      <c r="D16" s="66"/>
      <c r="E16" s="66"/>
      <c r="F16" s="66"/>
      <c r="G16" s="67">
        <f t="shared" si="1"/>
        <v>0</v>
      </c>
      <c r="H16" s="68" t="str">
        <f t="shared" si="2"/>
        <v>-</v>
      </c>
      <c r="I16" s="548"/>
      <c r="J16" s="66"/>
      <c r="K16" s="66"/>
      <c r="L16" s="67">
        <f t="shared" si="3"/>
        <v>0</v>
      </c>
      <c r="M16" s="68" t="str">
        <f t="shared" si="4"/>
        <v>-</v>
      </c>
      <c r="N16" s="539"/>
      <c r="O16" s="66"/>
      <c r="P16" s="66"/>
      <c r="Q16" s="67">
        <f t="shared" si="5"/>
        <v>0</v>
      </c>
      <c r="R16" s="68" t="str">
        <f t="shared" si="6"/>
        <v>-</v>
      </c>
      <c r="S16" s="539"/>
      <c r="T16" s="66"/>
      <c r="U16" s="66"/>
      <c r="V16" s="67">
        <f t="shared" si="7"/>
        <v>0</v>
      </c>
      <c r="W16" s="68" t="str">
        <f t="shared" si="8"/>
        <v>-</v>
      </c>
      <c r="X16" s="539"/>
    </row>
    <row r="17" spans="1:24" x14ac:dyDescent="0.2">
      <c r="A17" s="340">
        <v>1260</v>
      </c>
      <c r="B17" s="60" t="s">
        <v>610</v>
      </c>
      <c r="C17" s="66"/>
      <c r="D17" s="66"/>
      <c r="E17" s="66"/>
      <c r="F17" s="66"/>
      <c r="G17" s="67">
        <f t="shared" si="1"/>
        <v>0</v>
      </c>
      <c r="H17" s="68" t="str">
        <f t="shared" si="2"/>
        <v>-</v>
      </c>
      <c r="I17" s="548"/>
      <c r="J17" s="66"/>
      <c r="K17" s="66"/>
      <c r="L17" s="67">
        <f t="shared" si="3"/>
        <v>0</v>
      </c>
      <c r="M17" s="68" t="str">
        <f t="shared" si="4"/>
        <v>-</v>
      </c>
      <c r="N17" s="539"/>
      <c r="O17" s="66"/>
      <c r="P17" s="66"/>
      <c r="Q17" s="67">
        <f t="shared" si="5"/>
        <v>0</v>
      </c>
      <c r="R17" s="68" t="str">
        <f t="shared" si="6"/>
        <v>-</v>
      </c>
      <c r="S17" s="539"/>
      <c r="T17" s="66"/>
      <c r="U17" s="66"/>
      <c r="V17" s="67">
        <f t="shared" si="7"/>
        <v>0</v>
      </c>
      <c r="W17" s="68" t="str">
        <f t="shared" si="8"/>
        <v>-</v>
      </c>
      <c r="X17" s="539"/>
    </row>
    <row r="18" spans="1:24" x14ac:dyDescent="0.2">
      <c r="A18" s="340">
        <v>1270</v>
      </c>
      <c r="B18" s="60" t="s">
        <v>481</v>
      </c>
      <c r="C18" s="66"/>
      <c r="D18" s="66"/>
      <c r="E18" s="66"/>
      <c r="F18" s="66"/>
      <c r="G18" s="67">
        <f t="shared" si="1"/>
        <v>0</v>
      </c>
      <c r="H18" s="68" t="str">
        <f t="shared" si="2"/>
        <v>-</v>
      </c>
      <c r="I18" s="548"/>
      <c r="J18" s="66"/>
      <c r="K18" s="66"/>
      <c r="L18" s="67">
        <f t="shared" si="3"/>
        <v>0</v>
      </c>
      <c r="M18" s="68" t="str">
        <f t="shared" si="4"/>
        <v>-</v>
      </c>
      <c r="N18" s="539"/>
      <c r="O18" s="66"/>
      <c r="P18" s="66"/>
      <c r="Q18" s="67">
        <f t="shared" si="5"/>
        <v>0</v>
      </c>
      <c r="R18" s="68" t="str">
        <f t="shared" si="6"/>
        <v>-</v>
      </c>
      <c r="S18" s="539"/>
      <c r="T18" s="66"/>
      <c r="U18" s="66"/>
      <c r="V18" s="67">
        <f t="shared" si="7"/>
        <v>0</v>
      </c>
      <c r="W18" s="68" t="str">
        <f t="shared" si="8"/>
        <v>-</v>
      </c>
      <c r="X18" s="539"/>
    </row>
    <row r="19" spans="1:24" x14ac:dyDescent="0.2">
      <c r="A19" s="340">
        <v>1280</v>
      </c>
      <c r="B19" s="60" t="s">
        <v>321</v>
      </c>
      <c r="C19" s="66"/>
      <c r="D19" s="66"/>
      <c r="E19" s="66"/>
      <c r="F19" s="66"/>
      <c r="G19" s="67">
        <f t="shared" si="1"/>
        <v>0</v>
      </c>
      <c r="H19" s="68" t="str">
        <f t="shared" si="2"/>
        <v>-</v>
      </c>
      <c r="I19" s="548"/>
      <c r="J19" s="66"/>
      <c r="K19" s="66"/>
      <c r="L19" s="67">
        <f t="shared" si="3"/>
        <v>0</v>
      </c>
      <c r="M19" s="68" t="str">
        <f t="shared" si="4"/>
        <v>-</v>
      </c>
      <c r="N19" s="539"/>
      <c r="O19" s="66"/>
      <c r="P19" s="66"/>
      <c r="Q19" s="67">
        <f t="shared" si="5"/>
        <v>0</v>
      </c>
      <c r="R19" s="68" t="str">
        <f t="shared" si="6"/>
        <v>-</v>
      </c>
      <c r="S19" s="539"/>
      <c r="T19" s="66"/>
      <c r="U19" s="66"/>
      <c r="V19" s="67">
        <f t="shared" si="7"/>
        <v>0</v>
      </c>
      <c r="W19" s="68" t="str">
        <f t="shared" si="8"/>
        <v>-</v>
      </c>
      <c r="X19" s="539"/>
    </row>
    <row r="20" spans="1:24" ht="31.5" x14ac:dyDescent="0.2">
      <c r="A20" s="340">
        <v>1290</v>
      </c>
      <c r="B20" s="60" t="s">
        <v>611</v>
      </c>
      <c r="C20" s="66">
        <v>-3254248</v>
      </c>
      <c r="D20" s="66">
        <v>-3549806</v>
      </c>
      <c r="E20" s="66">
        <v>-3325930</v>
      </c>
      <c r="F20" s="66">
        <v>-3324733</v>
      </c>
      <c r="G20" s="67">
        <f t="shared" si="1"/>
        <v>1197</v>
      </c>
      <c r="H20" s="68">
        <f t="shared" si="2"/>
        <v>3.598993364262026E-4</v>
      </c>
      <c r="I20" s="548"/>
      <c r="J20" s="66">
        <v>-3395623</v>
      </c>
      <c r="K20" s="66"/>
      <c r="L20" s="67">
        <f t="shared" ref="L20" si="16">K20-J20</f>
        <v>3395623</v>
      </c>
      <c r="M20" s="68">
        <f t="shared" si="4"/>
        <v>1</v>
      </c>
      <c r="N20" s="539"/>
      <c r="O20" s="66">
        <v>-3471362</v>
      </c>
      <c r="P20" s="66"/>
      <c r="Q20" s="67">
        <f t="shared" si="5"/>
        <v>3471362</v>
      </c>
      <c r="R20" s="68">
        <f t="shared" si="6"/>
        <v>1</v>
      </c>
      <c r="S20" s="539"/>
      <c r="T20" s="66">
        <f>D20</f>
        <v>-3549806</v>
      </c>
      <c r="U20" s="66"/>
      <c r="V20" s="67">
        <f t="shared" si="7"/>
        <v>3549806</v>
      </c>
      <c r="W20" s="68">
        <f t="shared" si="8"/>
        <v>1</v>
      </c>
      <c r="X20" s="539"/>
    </row>
    <row r="21" spans="1:24" s="429" customFormat="1" ht="15.6" customHeight="1" x14ac:dyDescent="0.2">
      <c r="A21" s="216">
        <v>1300</v>
      </c>
      <c r="B21" s="78" t="s">
        <v>322</v>
      </c>
      <c r="C21" s="57">
        <v>0</v>
      </c>
      <c r="D21" s="57">
        <v>0</v>
      </c>
      <c r="E21" s="57">
        <v>0</v>
      </c>
      <c r="F21" s="57">
        <v>0</v>
      </c>
      <c r="G21" s="58">
        <v>0</v>
      </c>
      <c r="H21" s="440" t="str">
        <f t="shared" ref="H21:H24" si="17">IFERROR(G21/ABS(E21), "-")</f>
        <v>-</v>
      </c>
      <c r="I21" s="443"/>
      <c r="J21" s="441">
        <v>0</v>
      </c>
      <c r="K21" s="57">
        <v>0</v>
      </c>
      <c r="L21" s="58">
        <v>0</v>
      </c>
      <c r="M21" s="42" t="str">
        <f t="shared" ref="M21:M24" si="18">IFERROR(L21/ABS(J21), "-")</f>
        <v>-</v>
      </c>
      <c r="N21" s="443"/>
      <c r="O21" s="57">
        <v>0</v>
      </c>
      <c r="P21" s="57">
        <v>0</v>
      </c>
      <c r="Q21" s="58">
        <f>P21-O21</f>
        <v>0</v>
      </c>
      <c r="R21" s="42" t="str">
        <f t="shared" ref="R21:R24" si="19">IFERROR(Q21/ABS(O21), "-")</f>
        <v>-</v>
      </c>
      <c r="S21" s="443"/>
      <c r="T21" s="57">
        <v>0</v>
      </c>
      <c r="U21" s="57">
        <v>0</v>
      </c>
      <c r="V21" s="58">
        <f t="shared" ref="V21:V24" si="20">U21-T21</f>
        <v>0</v>
      </c>
      <c r="W21" s="42" t="str">
        <f t="shared" ref="W21:W24" si="21">IFERROR(V21/ABS(T21), "-")</f>
        <v>-</v>
      </c>
      <c r="X21" s="217"/>
    </row>
    <row r="22" spans="1:24" s="430" customFormat="1" ht="15.95" customHeight="1" x14ac:dyDescent="0.2">
      <c r="A22" s="147">
        <v>1400</v>
      </c>
      <c r="B22" s="78" t="s">
        <v>612</v>
      </c>
      <c r="C22" s="81">
        <v>0</v>
      </c>
      <c r="D22" s="81">
        <v>0</v>
      </c>
      <c r="E22" s="81">
        <v>0</v>
      </c>
      <c r="F22" s="81">
        <v>0</v>
      </c>
      <c r="G22" s="421">
        <f t="shared" ref="G22:G24" si="22">F22-E22</f>
        <v>0</v>
      </c>
      <c r="H22" s="440" t="str">
        <f t="shared" si="17"/>
        <v>-</v>
      </c>
      <c r="I22" s="217"/>
      <c r="J22" s="442">
        <v>0</v>
      </c>
      <c r="K22" s="81">
        <v>0</v>
      </c>
      <c r="L22" s="58">
        <v>0</v>
      </c>
      <c r="M22" s="42" t="str">
        <f t="shared" si="18"/>
        <v>-</v>
      </c>
      <c r="N22" s="217"/>
      <c r="O22" s="81">
        <v>0</v>
      </c>
      <c r="P22" s="81">
        <v>0</v>
      </c>
      <c r="Q22" s="58">
        <f t="shared" ref="Q22:Q24" si="23">P22-O22</f>
        <v>0</v>
      </c>
      <c r="R22" s="42" t="str">
        <f t="shared" si="19"/>
        <v>-</v>
      </c>
      <c r="S22" s="217"/>
      <c r="T22" s="81">
        <v>0</v>
      </c>
      <c r="U22" s="81">
        <v>0</v>
      </c>
      <c r="V22" s="58">
        <f t="shared" si="20"/>
        <v>0</v>
      </c>
      <c r="W22" s="42" t="str">
        <f t="shared" si="21"/>
        <v>-</v>
      </c>
      <c r="X22" s="217"/>
    </row>
    <row r="23" spans="1:24" s="430" customFormat="1" ht="15.95" customHeight="1" x14ac:dyDescent="0.2">
      <c r="A23" s="147">
        <v>1500</v>
      </c>
      <c r="B23" s="78" t="s">
        <v>613</v>
      </c>
      <c r="C23" s="81">
        <v>0</v>
      </c>
      <c r="D23" s="81">
        <v>0</v>
      </c>
      <c r="E23" s="81">
        <v>0</v>
      </c>
      <c r="F23" s="81">
        <v>0</v>
      </c>
      <c r="G23" s="421">
        <f t="shared" si="22"/>
        <v>0</v>
      </c>
      <c r="H23" s="42" t="str">
        <f t="shared" si="17"/>
        <v>-</v>
      </c>
      <c r="I23" s="422"/>
      <c r="J23" s="81">
        <v>0</v>
      </c>
      <c r="K23" s="81">
        <v>0</v>
      </c>
      <c r="L23" s="58">
        <v>0</v>
      </c>
      <c r="M23" s="42" t="str">
        <f t="shared" si="18"/>
        <v>-</v>
      </c>
      <c r="N23" s="422"/>
      <c r="O23" s="81">
        <v>0</v>
      </c>
      <c r="P23" s="81">
        <v>0</v>
      </c>
      <c r="Q23" s="58">
        <f t="shared" si="23"/>
        <v>0</v>
      </c>
      <c r="R23" s="42" t="str">
        <f t="shared" si="19"/>
        <v>-</v>
      </c>
      <c r="S23" s="217"/>
      <c r="T23" s="81">
        <v>0</v>
      </c>
      <c r="U23" s="81">
        <v>0</v>
      </c>
      <c r="V23" s="58">
        <f t="shared" si="20"/>
        <v>0</v>
      </c>
      <c r="W23" s="42" t="str">
        <f t="shared" si="21"/>
        <v>-</v>
      </c>
      <c r="X23" s="217"/>
    </row>
    <row r="24" spans="1:24" s="430" customFormat="1" ht="31.5" customHeight="1" x14ac:dyDescent="0.2">
      <c r="A24" s="147">
        <v>1600</v>
      </c>
      <c r="B24" s="78" t="s">
        <v>614</v>
      </c>
      <c r="C24" s="81">
        <v>0</v>
      </c>
      <c r="D24" s="81">
        <v>0</v>
      </c>
      <c r="E24" s="81">
        <v>0</v>
      </c>
      <c r="F24" s="81">
        <v>0</v>
      </c>
      <c r="G24" s="421">
        <f t="shared" si="22"/>
        <v>0</v>
      </c>
      <c r="H24" s="42" t="str">
        <f t="shared" si="17"/>
        <v>-</v>
      </c>
      <c r="I24" s="422"/>
      <c r="J24" s="81">
        <v>0</v>
      </c>
      <c r="K24" s="81">
        <v>0</v>
      </c>
      <c r="L24" s="58">
        <v>0</v>
      </c>
      <c r="M24" s="42" t="str">
        <f t="shared" si="18"/>
        <v>-</v>
      </c>
      <c r="N24" s="422"/>
      <c r="O24" s="81">
        <v>0</v>
      </c>
      <c r="P24" s="81">
        <v>0</v>
      </c>
      <c r="Q24" s="58">
        <f t="shared" si="23"/>
        <v>0</v>
      </c>
      <c r="R24" s="42" t="str">
        <f t="shared" si="19"/>
        <v>-</v>
      </c>
      <c r="S24" s="217"/>
      <c r="T24" s="81">
        <v>0</v>
      </c>
      <c r="U24" s="81">
        <v>0</v>
      </c>
      <c r="V24" s="58">
        <f t="shared" si="20"/>
        <v>0</v>
      </c>
      <c r="W24" s="42" t="str">
        <f t="shared" si="21"/>
        <v>-</v>
      </c>
      <c r="X24" s="217"/>
    </row>
    <row r="25" spans="1:24" s="54" customFormat="1" x14ac:dyDescent="0.2">
      <c r="A25" s="432">
        <v>2000</v>
      </c>
      <c r="B25" s="394" t="s">
        <v>323</v>
      </c>
      <c r="C25" s="412">
        <f>C26+C36+C44+C45+C46</f>
        <v>2786523</v>
      </c>
      <c r="D25" s="412">
        <f ca="1">D26+D36+D44+D45+D46</f>
        <v>2006413</v>
      </c>
      <c r="E25" s="412">
        <f>E26+E36+E44+E45+E46</f>
        <v>2499692</v>
      </c>
      <c r="F25" s="412">
        <f>F26+F36+F44+F45+F46</f>
        <v>2568498</v>
      </c>
      <c r="G25" s="413">
        <f t="shared" ref="G25:G30" si="24">F25-E25</f>
        <v>68806</v>
      </c>
      <c r="H25" s="414">
        <f t="shared" ref="H25:H30" si="25">IFERROR(G25/ABS(E25), "-")</f>
        <v>2.7525791177473065E-2</v>
      </c>
      <c r="I25" s="415"/>
      <c r="J25" s="412">
        <f ca="1">J26+J36+J44+J45+J46</f>
        <v>2389304</v>
      </c>
      <c r="K25" s="412">
        <f>K26+K36</f>
        <v>0</v>
      </c>
      <c r="L25" s="413">
        <f t="shared" ref="L25:L30" ca="1" si="26">K25-J25</f>
        <v>-2389304</v>
      </c>
      <c r="M25" s="414">
        <f t="shared" ref="M25:M30" ca="1" si="27">IFERROR(L25/ABS(J25), "-")</f>
        <v>-1</v>
      </c>
      <c r="N25" s="415"/>
      <c r="O25" s="412">
        <f ca="1">O26+O36+O44+O45+O46</f>
        <v>2491326</v>
      </c>
      <c r="P25" s="412">
        <f>P26+P36</f>
        <v>0</v>
      </c>
      <c r="Q25" s="413">
        <f t="shared" ref="Q25:Q30" ca="1" si="28">P25-O25</f>
        <v>-2491326</v>
      </c>
      <c r="R25" s="414">
        <f t="shared" ref="R25:R30" ca="1" si="29">IFERROR(Q25/ABS(O25), "-")</f>
        <v>-1</v>
      </c>
      <c r="S25" s="415"/>
      <c r="T25" s="412">
        <f ca="1">T26+T36+T44+T45+T46</f>
        <v>2006413</v>
      </c>
      <c r="U25" s="412">
        <f>U26+U36</f>
        <v>0</v>
      </c>
      <c r="V25" s="413">
        <f t="shared" ref="V25:V34" ca="1" si="30">U25-T25</f>
        <v>-2006413</v>
      </c>
      <c r="W25" s="414">
        <f t="shared" ref="W25:W34" ca="1" si="31">IFERROR(V25/ABS(T25), "-")</f>
        <v>-1</v>
      </c>
      <c r="X25" s="415"/>
    </row>
    <row r="26" spans="1:24" s="54" customFormat="1" x14ac:dyDescent="0.2">
      <c r="A26" s="216">
        <v>2100</v>
      </c>
      <c r="B26" s="78" t="s">
        <v>324</v>
      </c>
      <c r="C26" s="57">
        <f>SUM(C27:C35)</f>
        <v>122874</v>
      </c>
      <c r="D26" s="57">
        <f t="shared" ref="D26:E26" si="32">SUM(D27:D35)</f>
        <v>130000</v>
      </c>
      <c r="E26" s="57">
        <f t="shared" si="32"/>
        <v>120000</v>
      </c>
      <c r="F26" s="57">
        <f t="shared" ref="F26" si="33">SUM(F27:F34)</f>
        <v>139647</v>
      </c>
      <c r="G26" s="58">
        <f t="shared" si="24"/>
        <v>19647</v>
      </c>
      <c r="H26" s="42">
        <f t="shared" si="25"/>
        <v>0.16372500000000001</v>
      </c>
      <c r="I26" s="538"/>
      <c r="J26" s="57">
        <f>SUM(J27:J35)</f>
        <v>130000</v>
      </c>
      <c r="K26" s="57">
        <f>SUM(K27:K35)</f>
        <v>0</v>
      </c>
      <c r="L26" s="58">
        <f t="shared" si="26"/>
        <v>-130000</v>
      </c>
      <c r="M26" s="42">
        <f t="shared" si="27"/>
        <v>-1</v>
      </c>
      <c r="N26" s="538"/>
      <c r="O26" s="57">
        <f>SUM(O27:O35)</f>
        <v>130000</v>
      </c>
      <c r="P26" s="57">
        <f>SUM(P27:P35)</f>
        <v>0</v>
      </c>
      <c r="Q26" s="58">
        <f t="shared" si="28"/>
        <v>-130000</v>
      </c>
      <c r="R26" s="42">
        <f t="shared" si="29"/>
        <v>-1</v>
      </c>
      <c r="S26" s="538"/>
      <c r="T26" s="57">
        <f>SUM(T27:T35)</f>
        <v>130000</v>
      </c>
      <c r="U26" s="57">
        <f>SUM(U27:U35)</f>
        <v>0</v>
      </c>
      <c r="V26" s="58">
        <f t="shared" si="30"/>
        <v>-130000</v>
      </c>
      <c r="W26" s="42">
        <f t="shared" si="31"/>
        <v>-1</v>
      </c>
      <c r="X26" s="546"/>
    </row>
    <row r="27" spans="1:24" x14ac:dyDescent="0.2">
      <c r="A27" s="340">
        <v>2110</v>
      </c>
      <c r="B27" s="60" t="s">
        <v>482</v>
      </c>
      <c r="C27" s="66">
        <v>122528</v>
      </c>
      <c r="D27" s="66">
        <v>130000</v>
      </c>
      <c r="E27" s="66">
        <v>120000</v>
      </c>
      <c r="F27" s="66">
        <v>135548</v>
      </c>
      <c r="G27" s="67">
        <f t="shared" si="24"/>
        <v>15548</v>
      </c>
      <c r="H27" s="68">
        <f t="shared" si="25"/>
        <v>0.12956666666666666</v>
      </c>
      <c r="I27" s="539"/>
      <c r="J27" s="66">
        <v>130000</v>
      </c>
      <c r="K27" s="66"/>
      <c r="L27" s="67">
        <f t="shared" si="26"/>
        <v>-130000</v>
      </c>
      <c r="M27" s="68">
        <f t="shared" si="27"/>
        <v>-1</v>
      </c>
      <c r="N27" s="539"/>
      <c r="O27" s="66">
        <v>130000</v>
      </c>
      <c r="P27" s="66"/>
      <c r="Q27" s="67">
        <f t="shared" si="28"/>
        <v>-130000</v>
      </c>
      <c r="R27" s="68">
        <f t="shared" si="29"/>
        <v>-1</v>
      </c>
      <c r="S27" s="539"/>
      <c r="T27" s="66">
        <f>D27</f>
        <v>130000</v>
      </c>
      <c r="U27" s="66"/>
      <c r="V27" s="67">
        <f t="shared" si="30"/>
        <v>-130000</v>
      </c>
      <c r="W27" s="68">
        <f t="shared" si="31"/>
        <v>-1</v>
      </c>
      <c r="X27" s="546"/>
    </row>
    <row r="28" spans="1:24" x14ac:dyDescent="0.2">
      <c r="A28" s="340">
        <v>2120</v>
      </c>
      <c r="B28" s="60" t="s">
        <v>483</v>
      </c>
      <c r="C28" s="66"/>
      <c r="D28" s="66"/>
      <c r="E28" s="66"/>
      <c r="F28" s="66"/>
      <c r="G28" s="67">
        <f t="shared" si="24"/>
        <v>0</v>
      </c>
      <c r="H28" s="68" t="str">
        <f t="shared" si="25"/>
        <v>-</v>
      </c>
      <c r="I28" s="539"/>
      <c r="J28" s="66"/>
      <c r="K28" s="66"/>
      <c r="L28" s="67">
        <f t="shared" si="26"/>
        <v>0</v>
      </c>
      <c r="M28" s="68" t="str">
        <f t="shared" si="27"/>
        <v>-</v>
      </c>
      <c r="N28" s="539"/>
      <c r="O28" s="66"/>
      <c r="P28" s="66"/>
      <c r="Q28" s="67">
        <f t="shared" si="28"/>
        <v>0</v>
      </c>
      <c r="R28" s="68" t="str">
        <f t="shared" si="29"/>
        <v>-</v>
      </c>
      <c r="S28" s="539"/>
      <c r="T28" s="66"/>
      <c r="U28" s="66"/>
      <c r="V28" s="67">
        <f t="shared" si="30"/>
        <v>0</v>
      </c>
      <c r="W28" s="68" t="str">
        <f t="shared" si="31"/>
        <v>-</v>
      </c>
      <c r="X28" s="546"/>
    </row>
    <row r="29" spans="1:24" ht="31.5" x14ac:dyDescent="0.2">
      <c r="A29" s="340">
        <v>2130</v>
      </c>
      <c r="B29" s="60" t="s">
        <v>615</v>
      </c>
      <c r="C29" s="66"/>
      <c r="D29" s="66"/>
      <c r="E29" s="66"/>
      <c r="F29" s="66"/>
      <c r="G29" s="67">
        <f t="shared" si="24"/>
        <v>0</v>
      </c>
      <c r="H29" s="68" t="str">
        <f t="shared" si="25"/>
        <v>-</v>
      </c>
      <c r="I29" s="539"/>
      <c r="J29" s="66"/>
      <c r="K29" s="66"/>
      <c r="L29" s="67">
        <f t="shared" si="26"/>
        <v>0</v>
      </c>
      <c r="M29" s="68" t="str">
        <f t="shared" si="27"/>
        <v>-</v>
      </c>
      <c r="N29" s="539"/>
      <c r="O29" s="66"/>
      <c r="P29" s="66"/>
      <c r="Q29" s="67">
        <f t="shared" si="28"/>
        <v>0</v>
      </c>
      <c r="R29" s="68" t="str">
        <f t="shared" si="29"/>
        <v>-</v>
      </c>
      <c r="S29" s="539"/>
      <c r="T29" s="66"/>
      <c r="U29" s="66"/>
      <c r="V29" s="67">
        <f t="shared" si="30"/>
        <v>0</v>
      </c>
      <c r="W29" s="68" t="str">
        <f t="shared" si="31"/>
        <v>-</v>
      </c>
      <c r="X29" s="546"/>
    </row>
    <row r="30" spans="1:24" ht="15.6" customHeight="1" x14ac:dyDescent="0.2">
      <c r="A30" s="340">
        <v>2140</v>
      </c>
      <c r="B30" s="423" t="s">
        <v>616</v>
      </c>
      <c r="C30" s="66"/>
      <c r="D30" s="66"/>
      <c r="E30" s="66"/>
      <c r="F30" s="66"/>
      <c r="G30" s="67">
        <f t="shared" si="24"/>
        <v>0</v>
      </c>
      <c r="H30" s="68" t="str">
        <f t="shared" si="25"/>
        <v>-</v>
      </c>
      <c r="I30" s="539"/>
      <c r="J30" s="66"/>
      <c r="K30" s="66"/>
      <c r="L30" s="67">
        <f t="shared" si="26"/>
        <v>0</v>
      </c>
      <c r="M30" s="68" t="str">
        <f t="shared" si="27"/>
        <v>-</v>
      </c>
      <c r="N30" s="539"/>
      <c r="O30" s="66"/>
      <c r="P30" s="66"/>
      <c r="Q30" s="67">
        <f t="shared" si="28"/>
        <v>0</v>
      </c>
      <c r="R30" s="68" t="str">
        <f t="shared" si="29"/>
        <v>-</v>
      </c>
      <c r="S30" s="539"/>
      <c r="T30" s="66"/>
      <c r="U30" s="66"/>
      <c r="V30" s="67">
        <f t="shared" si="30"/>
        <v>0</v>
      </c>
      <c r="W30" s="68" t="str">
        <f t="shared" si="31"/>
        <v>-</v>
      </c>
      <c r="X30" s="546"/>
    </row>
    <row r="31" spans="1:24" ht="15.6" customHeight="1" x14ac:dyDescent="0.2">
      <c r="A31" s="340">
        <v>2150</v>
      </c>
      <c r="B31" s="423" t="s">
        <v>617</v>
      </c>
      <c r="C31" s="66"/>
      <c r="D31" s="66"/>
      <c r="E31" s="66"/>
      <c r="F31" s="66"/>
      <c r="G31" s="67">
        <f t="shared" ref="G31:G35" si="34">F31-E31</f>
        <v>0</v>
      </c>
      <c r="H31" s="68" t="str">
        <f t="shared" ref="H31:H35" si="35">IFERROR(G31/ABS(E31), "-")</f>
        <v>-</v>
      </c>
      <c r="I31" s="539"/>
      <c r="J31" s="66"/>
      <c r="K31" s="66"/>
      <c r="L31" s="67">
        <f t="shared" ref="L31:L34" si="36">K31-J31</f>
        <v>0</v>
      </c>
      <c r="M31" s="68" t="str">
        <f t="shared" ref="M31:M34" si="37">IFERROR(L31/ABS(J31), "-")</f>
        <v>-</v>
      </c>
      <c r="N31" s="539"/>
      <c r="O31" s="66"/>
      <c r="P31" s="66"/>
      <c r="Q31" s="67">
        <f t="shared" ref="Q31:Q34" si="38">P31-O31</f>
        <v>0</v>
      </c>
      <c r="R31" s="68" t="str">
        <f t="shared" ref="R31:R34" si="39">IFERROR(Q31/ABS(O31), "-")</f>
        <v>-</v>
      </c>
      <c r="S31" s="539"/>
      <c r="T31" s="66"/>
      <c r="U31" s="66"/>
      <c r="V31" s="67">
        <f t="shared" si="30"/>
        <v>0</v>
      </c>
      <c r="W31" s="68" t="str">
        <f t="shared" si="31"/>
        <v>-</v>
      </c>
      <c r="X31" s="546"/>
    </row>
    <row r="32" spans="1:24" ht="15.6" customHeight="1" x14ac:dyDescent="0.2">
      <c r="A32" s="340">
        <v>2160</v>
      </c>
      <c r="B32" s="423" t="s">
        <v>46</v>
      </c>
      <c r="C32" s="66"/>
      <c r="D32" s="66"/>
      <c r="E32" s="66"/>
      <c r="F32" s="66"/>
      <c r="G32" s="67">
        <f t="shared" si="34"/>
        <v>0</v>
      </c>
      <c r="H32" s="68" t="str">
        <f t="shared" si="35"/>
        <v>-</v>
      </c>
      <c r="I32" s="539"/>
      <c r="J32" s="66"/>
      <c r="K32" s="66"/>
      <c r="L32" s="67">
        <f t="shared" si="36"/>
        <v>0</v>
      </c>
      <c r="M32" s="68" t="str">
        <f t="shared" si="37"/>
        <v>-</v>
      </c>
      <c r="N32" s="539"/>
      <c r="O32" s="66"/>
      <c r="P32" s="66"/>
      <c r="Q32" s="67">
        <f t="shared" si="38"/>
        <v>0</v>
      </c>
      <c r="R32" s="68" t="str">
        <f t="shared" si="39"/>
        <v>-</v>
      </c>
      <c r="S32" s="539"/>
      <c r="T32" s="66"/>
      <c r="U32" s="66"/>
      <c r="V32" s="67">
        <f t="shared" si="30"/>
        <v>0</v>
      </c>
      <c r="W32" s="68" t="str">
        <f t="shared" si="31"/>
        <v>-</v>
      </c>
      <c r="X32" s="546"/>
    </row>
    <row r="33" spans="1:24" ht="30.95" customHeight="1" x14ac:dyDescent="0.2">
      <c r="A33" s="340">
        <v>2170</v>
      </c>
      <c r="B33" s="423" t="s">
        <v>618</v>
      </c>
      <c r="C33" s="66"/>
      <c r="D33" s="66"/>
      <c r="E33" s="66"/>
      <c r="F33" s="66"/>
      <c r="G33" s="67">
        <f t="shared" si="34"/>
        <v>0</v>
      </c>
      <c r="H33" s="68" t="str">
        <f t="shared" si="35"/>
        <v>-</v>
      </c>
      <c r="I33" s="539"/>
      <c r="J33" s="66"/>
      <c r="K33" s="66"/>
      <c r="L33" s="67">
        <f t="shared" si="36"/>
        <v>0</v>
      </c>
      <c r="M33" s="68" t="str">
        <f t="shared" si="37"/>
        <v>-</v>
      </c>
      <c r="N33" s="539"/>
      <c r="O33" s="66"/>
      <c r="P33" s="66"/>
      <c r="Q33" s="67">
        <f t="shared" si="38"/>
        <v>0</v>
      </c>
      <c r="R33" s="68" t="str">
        <f t="shared" si="39"/>
        <v>-</v>
      </c>
      <c r="S33" s="539"/>
      <c r="T33" s="66"/>
      <c r="U33" s="66"/>
      <c r="V33" s="67">
        <f t="shared" si="30"/>
        <v>0</v>
      </c>
      <c r="W33" s="68" t="str">
        <f t="shared" si="31"/>
        <v>-</v>
      </c>
      <c r="X33" s="546"/>
    </row>
    <row r="34" spans="1:24" ht="31.5" x14ac:dyDescent="0.2">
      <c r="A34" s="340">
        <v>2180</v>
      </c>
      <c r="B34" s="60" t="s">
        <v>619</v>
      </c>
      <c r="C34" s="66">
        <v>346</v>
      </c>
      <c r="D34" s="66">
        <v>0</v>
      </c>
      <c r="E34" s="66">
        <v>0</v>
      </c>
      <c r="F34" s="66">
        <v>4099</v>
      </c>
      <c r="G34" s="67">
        <f t="shared" si="34"/>
        <v>4099</v>
      </c>
      <c r="H34" s="68" t="str">
        <f t="shared" si="35"/>
        <v>-</v>
      </c>
      <c r="I34" s="539"/>
      <c r="J34" s="66">
        <v>0</v>
      </c>
      <c r="K34" s="66"/>
      <c r="L34" s="67">
        <f t="shared" si="36"/>
        <v>0</v>
      </c>
      <c r="M34" s="68" t="str">
        <f t="shared" si="37"/>
        <v>-</v>
      </c>
      <c r="N34" s="539"/>
      <c r="O34" s="66">
        <v>0</v>
      </c>
      <c r="P34" s="66"/>
      <c r="Q34" s="67">
        <f t="shared" si="38"/>
        <v>0</v>
      </c>
      <c r="R34" s="68" t="str">
        <f t="shared" si="39"/>
        <v>-</v>
      </c>
      <c r="S34" s="539"/>
      <c r="T34" s="66">
        <f>D34</f>
        <v>0</v>
      </c>
      <c r="U34" s="66"/>
      <c r="V34" s="67">
        <f t="shared" si="30"/>
        <v>0</v>
      </c>
      <c r="W34" s="68" t="str">
        <f t="shared" si="31"/>
        <v>-</v>
      </c>
      <c r="X34" s="546"/>
    </row>
    <row r="35" spans="1:24" x14ac:dyDescent="0.2">
      <c r="A35" s="340">
        <v>2190</v>
      </c>
      <c r="B35" s="60" t="s">
        <v>620</v>
      </c>
      <c r="C35" s="66"/>
      <c r="D35" s="66"/>
      <c r="E35" s="66"/>
      <c r="F35" s="66"/>
      <c r="G35" s="67">
        <f t="shared" si="34"/>
        <v>0</v>
      </c>
      <c r="H35" s="68" t="str">
        <f t="shared" si="35"/>
        <v>-</v>
      </c>
      <c r="I35" s="543"/>
      <c r="J35" s="66"/>
      <c r="K35" s="66"/>
      <c r="L35" s="67">
        <f t="shared" ref="L35" si="40">K35-J35</f>
        <v>0</v>
      </c>
      <c r="M35" s="68" t="str">
        <f t="shared" ref="M35" si="41">IFERROR(L35/ABS(J35), "-")</f>
        <v>-</v>
      </c>
      <c r="N35" s="543"/>
      <c r="O35" s="66"/>
      <c r="P35" s="66"/>
      <c r="Q35" s="67">
        <f t="shared" ref="Q35" si="42">P35-O35</f>
        <v>0</v>
      </c>
      <c r="R35" s="68" t="str">
        <f t="shared" ref="R35" si="43">IFERROR(Q35/ABS(O35), "-")</f>
        <v>-</v>
      </c>
      <c r="S35" s="543"/>
      <c r="T35" s="66"/>
      <c r="U35" s="66"/>
      <c r="V35" s="67">
        <f t="shared" ref="V35" si="44">U35-T35</f>
        <v>0</v>
      </c>
      <c r="W35" s="68" t="str">
        <f t="shared" ref="W35" si="45">IFERROR(V35/ABS(T35), "-")</f>
        <v>-</v>
      </c>
      <c r="X35" s="546"/>
    </row>
    <row r="36" spans="1:24" s="430" customFormat="1" x14ac:dyDescent="0.2">
      <c r="A36" s="216">
        <v>2300</v>
      </c>
      <c r="B36" s="78" t="s">
        <v>621</v>
      </c>
      <c r="C36" s="81">
        <f>SUM(C37:C43)</f>
        <v>312835</v>
      </c>
      <c r="D36" s="81">
        <f t="shared" ref="D36:E36" si="46">SUM(D37:D43)</f>
        <v>487559</v>
      </c>
      <c r="E36" s="81">
        <f t="shared" si="46"/>
        <v>402500</v>
      </c>
      <c r="F36" s="81">
        <f>SUM(F37:F43)</f>
        <v>556102</v>
      </c>
      <c r="G36" s="421">
        <f t="shared" ref="G36" si="47">F36-E36</f>
        <v>153602</v>
      </c>
      <c r="H36" s="219">
        <f t="shared" ref="H36" si="48">IFERROR(G36/ABS(E36), "-")</f>
        <v>0.3816198757763975</v>
      </c>
      <c r="I36" s="217"/>
      <c r="J36" s="81">
        <f>SUM(J37:J43)</f>
        <v>402500</v>
      </c>
      <c r="K36" s="81">
        <f>SUM(K37:K43)</f>
        <v>0</v>
      </c>
      <c r="L36" s="421">
        <f t="shared" ref="L36" si="49">K36-J36</f>
        <v>-402500</v>
      </c>
      <c r="M36" s="219">
        <f t="shared" ref="M36" si="50">IFERROR(L36/ABS(J36), "-")</f>
        <v>-1</v>
      </c>
      <c r="N36" s="217"/>
      <c r="O36" s="81">
        <f>SUM(O37:O43)</f>
        <v>421606</v>
      </c>
      <c r="P36" s="81">
        <f>SUM(P37:P43)</f>
        <v>0</v>
      </c>
      <c r="Q36" s="421">
        <f t="shared" ref="Q36:Q43" si="51">P36-O36</f>
        <v>-421606</v>
      </c>
      <c r="R36" s="219">
        <f t="shared" ref="R36:R43" si="52">IFERROR(Q36/ABS(O36), "-")</f>
        <v>-1</v>
      </c>
      <c r="S36" s="217"/>
      <c r="T36" s="81">
        <f>SUM(T37:T43)</f>
        <v>487559</v>
      </c>
      <c r="U36" s="81">
        <f>SUM(U37:U43)</f>
        <v>0</v>
      </c>
      <c r="V36" s="421">
        <f t="shared" ref="V36:V44" si="53">U36-T36</f>
        <v>-487559</v>
      </c>
      <c r="W36" s="219">
        <f t="shared" ref="W36:W44" si="54">IFERROR(V36/ABS(T36), "-")</f>
        <v>-1</v>
      </c>
      <c r="X36" s="217"/>
    </row>
    <row r="37" spans="1:24" ht="63" x14ac:dyDescent="0.2">
      <c r="A37" s="340">
        <v>2310</v>
      </c>
      <c r="B37" s="60" t="s">
        <v>622</v>
      </c>
      <c r="C37" s="66">
        <v>309813</v>
      </c>
      <c r="D37" s="66">
        <v>485059</v>
      </c>
      <c r="E37" s="66">
        <v>400000</v>
      </c>
      <c r="F37" s="66">
        <v>555065</v>
      </c>
      <c r="G37" s="67">
        <f t="shared" ref="G37:G46" si="55">F37-E37</f>
        <v>155065</v>
      </c>
      <c r="H37" s="68">
        <f t="shared" ref="H37:H46" si="56">IFERROR(G37/ABS(E37), "-")</f>
        <v>0.38766250000000002</v>
      </c>
      <c r="I37" s="490" t="s">
        <v>699</v>
      </c>
      <c r="J37" s="66">
        <v>400000</v>
      </c>
      <c r="K37" s="66"/>
      <c r="L37" s="67">
        <f t="shared" ref="L37:L46" si="57">K37-J37</f>
        <v>-400000</v>
      </c>
      <c r="M37" s="68">
        <f t="shared" ref="M37:M46" si="58">IFERROR(L37/ABS(J37), "-")</f>
        <v>-1</v>
      </c>
      <c r="N37" s="444"/>
      <c r="O37" s="66">
        <v>419106</v>
      </c>
      <c r="P37" s="66"/>
      <c r="Q37" s="67">
        <f t="shared" si="51"/>
        <v>-419106</v>
      </c>
      <c r="R37" s="68">
        <f t="shared" si="52"/>
        <v>-1</v>
      </c>
      <c r="S37" s="444"/>
      <c r="T37" s="66">
        <f>D37</f>
        <v>485059</v>
      </c>
      <c r="U37" s="66"/>
      <c r="V37" s="67">
        <f t="shared" si="53"/>
        <v>-485059</v>
      </c>
      <c r="W37" s="68">
        <f t="shared" si="54"/>
        <v>-1</v>
      </c>
      <c r="X37" s="444"/>
    </row>
    <row r="38" spans="1:24" ht="47.25" x14ac:dyDescent="0.2">
      <c r="A38" s="340">
        <v>2320</v>
      </c>
      <c r="B38" s="60" t="s">
        <v>623</v>
      </c>
      <c r="C38" s="66"/>
      <c r="D38" s="66"/>
      <c r="E38" s="66"/>
      <c r="F38" s="66"/>
      <c r="G38" s="67">
        <f t="shared" si="55"/>
        <v>0</v>
      </c>
      <c r="H38" s="68" t="str">
        <f t="shared" si="56"/>
        <v>-</v>
      </c>
      <c r="I38" s="444"/>
      <c r="J38" s="66"/>
      <c r="K38" s="66"/>
      <c r="L38" s="67">
        <f t="shared" si="57"/>
        <v>0</v>
      </c>
      <c r="M38" s="68" t="str">
        <f t="shared" si="58"/>
        <v>-</v>
      </c>
      <c r="N38" s="444"/>
      <c r="O38" s="66"/>
      <c r="P38" s="66"/>
      <c r="Q38" s="67">
        <f t="shared" si="51"/>
        <v>0</v>
      </c>
      <c r="R38" s="68" t="str">
        <f t="shared" si="52"/>
        <v>-</v>
      </c>
      <c r="S38" s="444"/>
      <c r="T38" s="66"/>
      <c r="U38" s="66"/>
      <c r="V38" s="67">
        <f t="shared" si="53"/>
        <v>0</v>
      </c>
      <c r="W38" s="68" t="str">
        <f t="shared" si="54"/>
        <v>-</v>
      </c>
      <c r="X38" s="444"/>
    </row>
    <row r="39" spans="1:24" ht="31.5" x14ac:dyDescent="0.2">
      <c r="A39" s="340">
        <v>2340</v>
      </c>
      <c r="B39" s="60" t="s">
        <v>624</v>
      </c>
      <c r="C39" s="66"/>
      <c r="D39" s="66"/>
      <c r="E39" s="66"/>
      <c r="F39" s="66"/>
      <c r="G39" s="67">
        <f t="shared" si="55"/>
        <v>0</v>
      </c>
      <c r="H39" s="68" t="str">
        <f t="shared" si="56"/>
        <v>-</v>
      </c>
      <c r="I39" s="444"/>
      <c r="J39" s="66"/>
      <c r="K39" s="66"/>
      <c r="L39" s="67">
        <f t="shared" si="57"/>
        <v>0</v>
      </c>
      <c r="M39" s="68" t="str">
        <f t="shared" si="58"/>
        <v>-</v>
      </c>
      <c r="N39" s="444"/>
      <c r="O39" s="66"/>
      <c r="P39" s="66"/>
      <c r="Q39" s="67">
        <f t="shared" si="51"/>
        <v>0</v>
      </c>
      <c r="R39" s="68" t="str">
        <f t="shared" si="52"/>
        <v>-</v>
      </c>
      <c r="S39" s="444"/>
      <c r="T39" s="66"/>
      <c r="U39" s="66"/>
      <c r="V39" s="67">
        <f t="shared" si="53"/>
        <v>0</v>
      </c>
      <c r="W39" s="68" t="str">
        <f t="shared" si="54"/>
        <v>-</v>
      </c>
      <c r="X39" s="444"/>
    </row>
    <row r="40" spans="1:24" x14ac:dyDescent="0.2">
      <c r="A40" s="340">
        <v>2360</v>
      </c>
      <c r="B40" s="60" t="s">
        <v>328</v>
      </c>
      <c r="C40" s="66">
        <v>1909</v>
      </c>
      <c r="D40" s="66">
        <v>1500</v>
      </c>
      <c r="E40" s="66">
        <v>1500</v>
      </c>
      <c r="F40" s="66">
        <v>0</v>
      </c>
      <c r="G40" s="67">
        <f t="shared" si="55"/>
        <v>-1500</v>
      </c>
      <c r="H40" s="68">
        <f t="shared" si="56"/>
        <v>-1</v>
      </c>
      <c r="I40" s="444"/>
      <c r="J40" s="66">
        <v>1500</v>
      </c>
      <c r="K40" s="66"/>
      <c r="L40" s="67">
        <f t="shared" si="57"/>
        <v>-1500</v>
      </c>
      <c r="M40" s="68">
        <f t="shared" si="58"/>
        <v>-1</v>
      </c>
      <c r="N40" s="444"/>
      <c r="O40" s="66">
        <v>1500</v>
      </c>
      <c r="P40" s="66"/>
      <c r="Q40" s="67">
        <f t="shared" si="51"/>
        <v>-1500</v>
      </c>
      <c r="R40" s="68">
        <f t="shared" si="52"/>
        <v>-1</v>
      </c>
      <c r="S40" s="444"/>
      <c r="T40" s="66">
        <f>D40</f>
        <v>1500</v>
      </c>
      <c r="U40" s="66"/>
      <c r="V40" s="67">
        <f t="shared" si="53"/>
        <v>-1500</v>
      </c>
      <c r="W40" s="68">
        <f t="shared" si="54"/>
        <v>-1</v>
      </c>
      <c r="X40" s="444"/>
    </row>
    <row r="41" spans="1:24" ht="31.5" x14ac:dyDescent="0.2">
      <c r="A41" s="340">
        <v>2370</v>
      </c>
      <c r="B41" s="60" t="s">
        <v>625</v>
      </c>
      <c r="C41" s="66"/>
      <c r="D41" s="66"/>
      <c r="E41" s="66"/>
      <c r="F41" s="66"/>
      <c r="G41" s="67">
        <f t="shared" si="55"/>
        <v>0</v>
      </c>
      <c r="H41" s="68" t="str">
        <f t="shared" si="56"/>
        <v>-</v>
      </c>
      <c r="I41" s="444"/>
      <c r="J41" s="66"/>
      <c r="K41" s="66"/>
      <c r="L41" s="67">
        <f t="shared" si="57"/>
        <v>0</v>
      </c>
      <c r="M41" s="68" t="str">
        <f t="shared" si="58"/>
        <v>-</v>
      </c>
      <c r="N41" s="444"/>
      <c r="O41" s="66"/>
      <c r="P41" s="66"/>
      <c r="Q41" s="67">
        <f t="shared" si="51"/>
        <v>0</v>
      </c>
      <c r="R41" s="68" t="str">
        <f t="shared" si="52"/>
        <v>-</v>
      </c>
      <c r="S41" s="444"/>
      <c r="T41" s="66"/>
      <c r="U41" s="66"/>
      <c r="V41" s="67">
        <f t="shared" si="53"/>
        <v>0</v>
      </c>
      <c r="W41" s="68" t="str">
        <f t="shared" si="54"/>
        <v>-</v>
      </c>
      <c r="X41" s="444"/>
    </row>
    <row r="42" spans="1:24" x14ac:dyDescent="0.2">
      <c r="A42" s="340">
        <v>2380</v>
      </c>
      <c r="B42" s="60" t="s">
        <v>626</v>
      </c>
      <c r="C42" s="66"/>
      <c r="D42" s="66"/>
      <c r="E42" s="66"/>
      <c r="F42" s="66"/>
      <c r="G42" s="67">
        <f t="shared" si="55"/>
        <v>0</v>
      </c>
      <c r="H42" s="68" t="str">
        <f t="shared" si="56"/>
        <v>-</v>
      </c>
      <c r="I42" s="444"/>
      <c r="J42" s="66"/>
      <c r="K42" s="66"/>
      <c r="L42" s="67">
        <f t="shared" si="57"/>
        <v>0</v>
      </c>
      <c r="M42" s="68" t="str">
        <f t="shared" si="58"/>
        <v>-</v>
      </c>
      <c r="N42" s="444"/>
      <c r="O42" s="66"/>
      <c r="P42" s="66"/>
      <c r="Q42" s="67">
        <f t="shared" si="51"/>
        <v>0</v>
      </c>
      <c r="R42" s="68" t="str">
        <f t="shared" si="52"/>
        <v>-</v>
      </c>
      <c r="S42" s="444"/>
      <c r="T42" s="66"/>
      <c r="U42" s="66"/>
      <c r="V42" s="67">
        <f t="shared" si="53"/>
        <v>0</v>
      </c>
      <c r="W42" s="68" t="str">
        <f t="shared" si="54"/>
        <v>-</v>
      </c>
      <c r="X42" s="444"/>
    </row>
    <row r="43" spans="1:24" x14ac:dyDescent="0.2">
      <c r="A43" s="340">
        <v>2390</v>
      </c>
      <c r="B43" s="60" t="s">
        <v>627</v>
      </c>
      <c r="C43" s="66">
        <v>1113</v>
      </c>
      <c r="D43" s="66">
        <v>1000</v>
      </c>
      <c r="E43" s="66">
        <v>1000</v>
      </c>
      <c r="F43" s="66">
        <v>1037</v>
      </c>
      <c r="G43" s="67">
        <f t="shared" si="55"/>
        <v>37</v>
      </c>
      <c r="H43" s="68">
        <f t="shared" si="56"/>
        <v>3.6999999999999998E-2</v>
      </c>
      <c r="I43" s="444"/>
      <c r="J43" s="66">
        <v>1000</v>
      </c>
      <c r="K43" s="66"/>
      <c r="L43" s="67">
        <f t="shared" si="57"/>
        <v>-1000</v>
      </c>
      <c r="M43" s="68">
        <f t="shared" si="58"/>
        <v>-1</v>
      </c>
      <c r="N43" s="444"/>
      <c r="O43" s="66">
        <v>1000</v>
      </c>
      <c r="P43" s="66"/>
      <c r="Q43" s="67">
        <f t="shared" si="51"/>
        <v>-1000</v>
      </c>
      <c r="R43" s="68">
        <f t="shared" si="52"/>
        <v>-1</v>
      </c>
      <c r="S43" s="444"/>
      <c r="T43" s="66">
        <f>D43</f>
        <v>1000</v>
      </c>
      <c r="U43" s="66"/>
      <c r="V43" s="67">
        <f t="shared" si="53"/>
        <v>-1000</v>
      </c>
      <c r="W43" s="68">
        <f t="shared" si="54"/>
        <v>-1</v>
      </c>
      <c r="X43" s="444"/>
    </row>
    <row r="44" spans="1:24" s="430" customFormat="1" ht="31.5" x14ac:dyDescent="0.2">
      <c r="A44" s="216">
        <v>2400</v>
      </c>
      <c r="B44" s="78" t="s">
        <v>628</v>
      </c>
      <c r="C44" s="81">
        <v>42606</v>
      </c>
      <c r="D44" s="81">
        <v>44000</v>
      </c>
      <c r="E44" s="81">
        <v>60000</v>
      </c>
      <c r="F44" s="81">
        <v>51134</v>
      </c>
      <c r="G44" s="82">
        <f t="shared" si="55"/>
        <v>-8866</v>
      </c>
      <c r="H44" s="83">
        <f t="shared" si="56"/>
        <v>-0.14776666666666666</v>
      </c>
      <c r="I44" s="217"/>
      <c r="J44" s="81">
        <v>94472</v>
      </c>
      <c r="K44" s="81">
        <v>0</v>
      </c>
      <c r="L44" s="82">
        <f t="shared" si="57"/>
        <v>-94472</v>
      </c>
      <c r="M44" s="83">
        <f t="shared" si="58"/>
        <v>-1</v>
      </c>
      <c r="N44" s="217"/>
      <c r="O44" s="81">
        <v>65000</v>
      </c>
      <c r="P44" s="81"/>
      <c r="Q44" s="82"/>
      <c r="R44" s="83"/>
      <c r="S44" s="217"/>
      <c r="T44" s="81">
        <f>D44</f>
        <v>44000</v>
      </c>
      <c r="U44" s="81"/>
      <c r="V44" s="82">
        <f t="shared" si="53"/>
        <v>-44000</v>
      </c>
      <c r="W44" s="83">
        <f t="shared" si="54"/>
        <v>-1</v>
      </c>
      <c r="X44" s="217"/>
    </row>
    <row r="45" spans="1:24" s="430" customFormat="1" x14ac:dyDescent="0.2">
      <c r="A45" s="216">
        <v>2500</v>
      </c>
      <c r="B45" s="78" t="s">
        <v>484</v>
      </c>
      <c r="C45" s="81">
        <v>0</v>
      </c>
      <c r="D45" s="81">
        <v>0</v>
      </c>
      <c r="E45" s="81">
        <v>0</v>
      </c>
      <c r="F45" s="81">
        <v>0</v>
      </c>
      <c r="G45" s="82">
        <f t="shared" si="55"/>
        <v>0</v>
      </c>
      <c r="H45" s="83" t="str">
        <f t="shared" si="56"/>
        <v>-</v>
      </c>
      <c r="I45" s="217"/>
      <c r="J45" s="81">
        <v>0</v>
      </c>
      <c r="K45" s="81">
        <v>0</v>
      </c>
      <c r="L45" s="82">
        <f t="shared" si="57"/>
        <v>0</v>
      </c>
      <c r="M45" s="83" t="str">
        <f t="shared" si="58"/>
        <v>-</v>
      </c>
      <c r="N45" s="217"/>
      <c r="O45" s="81"/>
      <c r="P45" s="81"/>
      <c r="Q45" s="82"/>
      <c r="R45" s="83"/>
      <c r="S45" s="217"/>
      <c r="T45" s="81"/>
      <c r="U45" s="81"/>
      <c r="V45" s="82">
        <f t="shared" ref="V45:V46" si="59">U45-T45</f>
        <v>0</v>
      </c>
      <c r="W45" s="83" t="str">
        <f t="shared" ref="W45:W46" si="60">IFERROR(V45/ABS(T45), "-")</f>
        <v>-</v>
      </c>
      <c r="X45" s="217"/>
    </row>
    <row r="46" spans="1:24" s="430" customFormat="1" x14ac:dyDescent="0.2">
      <c r="A46" s="216">
        <v>2600</v>
      </c>
      <c r="B46" s="78" t="s">
        <v>629</v>
      </c>
      <c r="C46" s="81">
        <v>2308208</v>
      </c>
      <c r="D46" s="81">
        <f ca="1">'Naudas plūsma'!D47</f>
        <v>1344854</v>
      </c>
      <c r="E46" s="81">
        <f>'Naudas plūsma'!E47</f>
        <v>1917192</v>
      </c>
      <c r="F46" s="81">
        <f>'Naudas plūsma'!F47</f>
        <v>1821615</v>
      </c>
      <c r="G46" s="82">
        <f t="shared" si="55"/>
        <v>-95577</v>
      </c>
      <c r="H46" s="83">
        <f t="shared" si="56"/>
        <v>-4.9852596922999884E-2</v>
      </c>
      <c r="I46" s="217"/>
      <c r="J46" s="81">
        <f ca="1">'Naudas plūsma'!J47</f>
        <v>1762332</v>
      </c>
      <c r="K46" s="81">
        <v>0</v>
      </c>
      <c r="L46" s="82">
        <f t="shared" ca="1" si="57"/>
        <v>-1762332</v>
      </c>
      <c r="M46" s="83">
        <f t="shared" ca="1" si="58"/>
        <v>-1</v>
      </c>
      <c r="N46" s="217"/>
      <c r="O46" s="81">
        <f ca="1">'Naudas plūsma'!O47</f>
        <v>1874720</v>
      </c>
      <c r="P46" s="81"/>
      <c r="Q46" s="82"/>
      <c r="R46" s="83"/>
      <c r="S46" s="217"/>
      <c r="T46" s="81">
        <f ca="1">'Naudas plūsma'!T47</f>
        <v>1344854</v>
      </c>
      <c r="U46" s="81"/>
      <c r="V46" s="82">
        <f t="shared" ca="1" si="59"/>
        <v>-1344854</v>
      </c>
      <c r="W46" s="83">
        <f t="shared" ca="1" si="60"/>
        <v>-1</v>
      </c>
      <c r="X46" s="217"/>
    </row>
    <row r="47" spans="1:24" s="54" customFormat="1" x14ac:dyDescent="0.2">
      <c r="A47" s="431"/>
      <c r="B47" s="424" t="s">
        <v>630</v>
      </c>
      <c r="C47" s="425">
        <f>C25+C3</f>
        <v>16004250</v>
      </c>
      <c r="D47" s="425">
        <f ca="1">D25+D3</f>
        <v>15632835</v>
      </c>
      <c r="E47" s="425">
        <f>E25+E3</f>
        <v>15886958</v>
      </c>
      <c r="F47" s="425">
        <f t="shared" ref="F47:J47" si="61">F25+F3</f>
        <v>15724819</v>
      </c>
      <c r="G47" s="425">
        <f t="shared" si="61"/>
        <v>-162139</v>
      </c>
      <c r="H47" s="425">
        <f t="shared" si="61"/>
        <v>1.0274695994931686E-2</v>
      </c>
      <c r="I47" s="425">
        <f t="shared" si="61"/>
        <v>0</v>
      </c>
      <c r="J47" s="425">
        <f t="shared" ca="1" si="61"/>
        <v>15977468</v>
      </c>
      <c r="K47" s="425">
        <f>K25+K3</f>
        <v>0</v>
      </c>
      <c r="L47" s="426">
        <f t="shared" ref="L47" ca="1" si="62">K47-J47</f>
        <v>-15977468</v>
      </c>
      <c r="M47" s="427">
        <f t="shared" ref="M47" ca="1" si="63">IFERROR(L47/ABS(J47), "-")</f>
        <v>-1</v>
      </c>
      <c r="N47" s="428"/>
      <c r="O47" s="425">
        <f ca="1">O25+O3</f>
        <v>16195934</v>
      </c>
      <c r="P47" s="425">
        <f>P25+P3</f>
        <v>0</v>
      </c>
      <c r="Q47" s="426">
        <f t="shared" ref="Q47" ca="1" si="64">P47-O47</f>
        <v>-16195934</v>
      </c>
      <c r="R47" s="427">
        <f t="shared" ref="R47" ca="1" si="65">IFERROR(Q47/ABS(O47), "-")</f>
        <v>-1</v>
      </c>
      <c r="S47" s="428"/>
      <c r="T47" s="425">
        <f ca="1">T25+T3</f>
        <v>15632835</v>
      </c>
      <c r="U47" s="425">
        <f>U25+U3</f>
        <v>0</v>
      </c>
      <c r="V47" s="426">
        <f t="shared" ref="V47" ca="1" si="66">U47-T47</f>
        <v>-15632835</v>
      </c>
      <c r="W47" s="427">
        <f t="shared" ref="W47" ca="1" si="67">IFERROR(V47/ABS(T47), "-")</f>
        <v>-1</v>
      </c>
      <c r="X47" s="428"/>
    </row>
    <row r="48" spans="1:24" s="54" customFormat="1" ht="12" customHeight="1" x14ac:dyDescent="0.2">
      <c r="A48" s="55"/>
      <c r="B48" s="29"/>
      <c r="C48" s="29"/>
      <c r="D48" s="29"/>
      <c r="E48" s="29"/>
      <c r="F48" s="29"/>
      <c r="G48" s="30"/>
      <c r="H48" s="32"/>
      <c r="I48" s="29"/>
      <c r="J48" s="29"/>
      <c r="K48" s="29"/>
      <c r="L48" s="30"/>
      <c r="M48" s="32"/>
      <c r="N48" s="29"/>
      <c r="O48" s="29"/>
      <c r="P48" s="29"/>
      <c r="Q48" s="30"/>
      <c r="R48" s="32"/>
      <c r="S48" s="29"/>
      <c r="T48" s="29"/>
      <c r="U48" s="29"/>
      <c r="V48" s="30"/>
      <c r="W48" s="32"/>
      <c r="X48" s="29"/>
    </row>
    <row r="49" spans="1:24" s="429" customFormat="1" x14ac:dyDescent="0.2">
      <c r="A49" s="411">
        <v>3000</v>
      </c>
      <c r="B49" s="394" t="s">
        <v>302</v>
      </c>
      <c r="C49" s="412">
        <f>C50+C51+C52+C55</f>
        <v>14014571</v>
      </c>
      <c r="D49" s="412">
        <f>D50+D55+D52+D590</f>
        <v>13606704</v>
      </c>
      <c r="E49" s="412">
        <f>E50+E55+E52+E590</f>
        <v>13827769</v>
      </c>
      <c r="F49" s="412">
        <f>F50+F55+F52+F590</f>
        <v>13784678</v>
      </c>
      <c r="G49" s="413">
        <f>F49-E49</f>
        <v>-43091</v>
      </c>
      <c r="H49" s="414">
        <f>IFERROR(G49/ABS(E49), "-")</f>
        <v>-3.1162655378463439E-3</v>
      </c>
      <c r="I49" s="433"/>
      <c r="J49" s="412">
        <f>J50+J51+J52+J55</f>
        <v>13983715</v>
      </c>
      <c r="K49" s="412">
        <f>K50+K55+K52+K590</f>
        <v>0</v>
      </c>
      <c r="L49" s="413">
        <f>K49-J49</f>
        <v>-13983715</v>
      </c>
      <c r="M49" s="414">
        <f>IFERROR(L49/ABS(J49), "-")</f>
        <v>-1</v>
      </c>
      <c r="N49" s="433"/>
      <c r="O49" s="412">
        <f>O50+O51+O52+O55</f>
        <v>14261618</v>
      </c>
      <c r="P49" s="412">
        <f>P50+P55+P52+P590</f>
        <v>0</v>
      </c>
      <c r="Q49" s="413">
        <f>P49-O49</f>
        <v>-14261618</v>
      </c>
      <c r="R49" s="414">
        <f>IFERROR(Q49/ABS(O49), "-")</f>
        <v>-1</v>
      </c>
      <c r="S49" s="433"/>
      <c r="T49" s="412">
        <f>T50+T51+T52+T55</f>
        <v>13606704</v>
      </c>
      <c r="U49" s="412">
        <f>U50+U55+U52+U590</f>
        <v>0</v>
      </c>
      <c r="V49" s="413">
        <f>U49-T49</f>
        <v>-13606704</v>
      </c>
      <c r="W49" s="414">
        <f>IFERROR(V49/ABS(T49), "-")</f>
        <v>-1</v>
      </c>
      <c r="X49" s="433"/>
    </row>
    <row r="50" spans="1:24" s="430" customFormat="1" x14ac:dyDescent="0.2">
      <c r="A50" s="56">
        <v>3100</v>
      </c>
      <c r="B50" s="78" t="s">
        <v>303</v>
      </c>
      <c r="C50" s="81">
        <v>12758840</v>
      </c>
      <c r="D50" s="81">
        <v>12758840</v>
      </c>
      <c r="E50" s="81">
        <v>12758840</v>
      </c>
      <c r="F50" s="81">
        <v>12758840</v>
      </c>
      <c r="G50" s="82">
        <f t="shared" ref="G50:G80" si="68">F50-E50</f>
        <v>0</v>
      </c>
      <c r="H50" s="83">
        <f t="shared" ref="H50:H84" si="69">IFERROR(G50/ABS(E50), "-")</f>
        <v>0</v>
      </c>
      <c r="I50" s="59"/>
      <c r="J50" s="81">
        <v>12758840</v>
      </c>
      <c r="K50" s="81"/>
      <c r="L50" s="82">
        <f t="shared" ref="L50" si="70">K50-J50</f>
        <v>-12758840</v>
      </c>
      <c r="M50" s="83">
        <f t="shared" ref="M50" si="71">IFERROR(L50/ABS(J50), "-")</f>
        <v>-1</v>
      </c>
      <c r="N50" s="59"/>
      <c r="O50" s="81">
        <v>12758840</v>
      </c>
      <c r="P50" s="81"/>
      <c r="Q50" s="82">
        <f t="shared" ref="Q50" si="72">P50-O50</f>
        <v>-12758840</v>
      </c>
      <c r="R50" s="83">
        <f t="shared" ref="R50" si="73">IFERROR(Q50/ABS(O50), "-")</f>
        <v>-1</v>
      </c>
      <c r="S50" s="59"/>
      <c r="T50" s="81">
        <v>12758840</v>
      </c>
      <c r="U50" s="81"/>
      <c r="V50" s="82">
        <f t="shared" ref="V50" si="74">U50-T50</f>
        <v>-12758840</v>
      </c>
      <c r="W50" s="83">
        <f t="shared" ref="W50" si="75">IFERROR(V50/ABS(T50), "-")</f>
        <v>-1</v>
      </c>
      <c r="X50" s="59"/>
    </row>
    <row r="51" spans="1:24" s="430" customFormat="1" ht="31.5" x14ac:dyDescent="0.2">
      <c r="A51" s="56">
        <v>3200</v>
      </c>
      <c r="B51" s="78" t="s">
        <v>634</v>
      </c>
      <c r="C51" s="81">
        <v>0</v>
      </c>
      <c r="D51" s="81">
        <v>0</v>
      </c>
      <c r="E51" s="81">
        <v>0</v>
      </c>
      <c r="F51" s="81">
        <v>0</v>
      </c>
      <c r="G51" s="82">
        <v>0</v>
      </c>
      <c r="H51" s="83" t="str">
        <f t="shared" si="69"/>
        <v>-</v>
      </c>
      <c r="I51" s="434"/>
      <c r="J51" s="81"/>
      <c r="K51" s="81"/>
      <c r="L51" s="82">
        <f t="shared" ref="L51" si="76">K51-J51</f>
        <v>0</v>
      </c>
      <c r="M51" s="83" t="str">
        <f t="shared" ref="M51" si="77">IFERROR(L51/ABS(J51), "-")</f>
        <v>-</v>
      </c>
      <c r="N51" s="434"/>
      <c r="O51" s="81"/>
      <c r="P51" s="81"/>
      <c r="Q51" s="82">
        <f t="shared" ref="Q51" si="78">P51-O51</f>
        <v>0</v>
      </c>
      <c r="R51" s="83" t="str">
        <f t="shared" ref="R51" si="79">IFERROR(Q51/ABS(O51), "-")</f>
        <v>-</v>
      </c>
      <c r="S51" s="434"/>
      <c r="T51" s="81"/>
      <c r="U51" s="81"/>
      <c r="V51" s="82">
        <f t="shared" ref="V51" si="80">U51-T51</f>
        <v>0</v>
      </c>
      <c r="W51" s="83" t="str">
        <f t="shared" ref="W51" si="81">IFERROR(V51/ABS(T51), "-")</f>
        <v>-</v>
      </c>
      <c r="X51" s="434"/>
    </row>
    <row r="52" spans="1:24" s="430" customFormat="1" x14ac:dyDescent="0.2">
      <c r="A52" s="56">
        <v>3300</v>
      </c>
      <c r="B52" s="435" t="s">
        <v>471</v>
      </c>
      <c r="C52" s="81">
        <f>C53+C54</f>
        <v>9486</v>
      </c>
      <c r="D52" s="81">
        <f t="shared" ref="D52:F52" si="82">D53+D54</f>
        <v>9486</v>
      </c>
      <c r="E52" s="81">
        <f t="shared" si="82"/>
        <v>9486</v>
      </c>
      <c r="F52" s="81">
        <f t="shared" si="82"/>
        <v>9486</v>
      </c>
      <c r="G52" s="82">
        <f t="shared" ref="G52:G54" si="83">F52-E52</f>
        <v>0</v>
      </c>
      <c r="H52" s="83">
        <f t="shared" ref="H52:H54" si="84">IFERROR(G52/ABS(E52), "-")</f>
        <v>0</v>
      </c>
      <c r="I52" s="538"/>
      <c r="J52" s="81">
        <f>J53+J54</f>
        <v>9486</v>
      </c>
      <c r="K52" s="81">
        <f t="shared" ref="K52" si="85">K53+K54</f>
        <v>0</v>
      </c>
      <c r="L52" s="82">
        <f t="shared" ref="L52:L62" si="86">K52-J52</f>
        <v>-9486</v>
      </c>
      <c r="M52" s="83">
        <f t="shared" ref="M52:M62" si="87">IFERROR(L52/ABS(J52), "-")</f>
        <v>-1</v>
      </c>
      <c r="N52" s="538"/>
      <c r="O52" s="81">
        <f>O53+O54</f>
        <v>9486</v>
      </c>
      <c r="P52" s="81">
        <f t="shared" ref="P52" si="88">P53+P54</f>
        <v>0</v>
      </c>
      <c r="Q52" s="82">
        <f t="shared" ref="Q52:Q62" si="89">P52-O52</f>
        <v>-9486</v>
      </c>
      <c r="R52" s="83">
        <f t="shared" ref="R52:R62" si="90">IFERROR(Q52/ABS(O52), "-")</f>
        <v>-1</v>
      </c>
      <c r="S52" s="538"/>
      <c r="T52" s="81">
        <f>T53+T54</f>
        <v>9486</v>
      </c>
      <c r="U52" s="81">
        <f t="shared" ref="U52" si="91">U53+U54</f>
        <v>0</v>
      </c>
      <c r="V52" s="82">
        <f t="shared" ref="V52:V62" si="92">U52-T52</f>
        <v>-9486</v>
      </c>
      <c r="W52" s="83">
        <f t="shared" ref="W52:W62" si="93">IFERROR(V52/ABS(T52), "-")</f>
        <v>-1</v>
      </c>
      <c r="X52" s="538"/>
    </row>
    <row r="53" spans="1:24" x14ac:dyDescent="0.2">
      <c r="A53" s="340">
        <v>3320</v>
      </c>
      <c r="B53" s="64" t="s">
        <v>632</v>
      </c>
      <c r="C53" s="61"/>
      <c r="D53" s="61"/>
      <c r="E53" s="61"/>
      <c r="F53" s="61"/>
      <c r="G53" s="62">
        <f t="shared" si="83"/>
        <v>0</v>
      </c>
      <c r="H53" s="36" t="str">
        <f t="shared" si="84"/>
        <v>-</v>
      </c>
      <c r="I53" s="539"/>
      <c r="J53" s="61"/>
      <c r="K53" s="61"/>
      <c r="L53" s="62">
        <f t="shared" si="86"/>
        <v>0</v>
      </c>
      <c r="M53" s="36" t="str">
        <f t="shared" si="87"/>
        <v>-</v>
      </c>
      <c r="N53" s="539"/>
      <c r="O53" s="61"/>
      <c r="P53" s="61"/>
      <c r="Q53" s="62">
        <f t="shared" si="89"/>
        <v>0</v>
      </c>
      <c r="R53" s="36" t="str">
        <f t="shared" si="90"/>
        <v>-</v>
      </c>
      <c r="S53" s="539"/>
      <c r="T53" s="61"/>
      <c r="U53" s="61"/>
      <c r="V53" s="62">
        <f t="shared" si="92"/>
        <v>0</v>
      </c>
      <c r="W53" s="36" t="str">
        <f t="shared" si="93"/>
        <v>-</v>
      </c>
      <c r="X53" s="539"/>
    </row>
    <row r="54" spans="1:24" x14ac:dyDescent="0.2">
      <c r="A54" s="340">
        <v>3360</v>
      </c>
      <c r="B54" s="64" t="s">
        <v>633</v>
      </c>
      <c r="C54" s="61">
        <v>9486</v>
      </c>
      <c r="D54" s="61">
        <v>9486</v>
      </c>
      <c r="E54" s="61">
        <v>9486</v>
      </c>
      <c r="F54" s="61">
        <v>9486</v>
      </c>
      <c r="G54" s="62">
        <f t="shared" si="83"/>
        <v>0</v>
      </c>
      <c r="H54" s="36">
        <f t="shared" si="84"/>
        <v>0</v>
      </c>
      <c r="I54" s="539"/>
      <c r="J54" s="61">
        <v>9486</v>
      </c>
      <c r="K54" s="61"/>
      <c r="L54" s="62">
        <f t="shared" si="86"/>
        <v>-9486</v>
      </c>
      <c r="M54" s="36">
        <f t="shared" si="87"/>
        <v>-1</v>
      </c>
      <c r="N54" s="539"/>
      <c r="O54" s="61">
        <v>9486</v>
      </c>
      <c r="P54" s="61"/>
      <c r="Q54" s="62">
        <f t="shared" si="89"/>
        <v>-9486</v>
      </c>
      <c r="R54" s="36">
        <f t="shared" si="90"/>
        <v>-1</v>
      </c>
      <c r="S54" s="539"/>
      <c r="T54" s="61">
        <v>9486</v>
      </c>
      <c r="U54" s="61"/>
      <c r="V54" s="62">
        <f t="shared" si="92"/>
        <v>-9486</v>
      </c>
      <c r="W54" s="36">
        <f t="shared" si="93"/>
        <v>-1</v>
      </c>
      <c r="X54" s="539"/>
    </row>
    <row r="55" spans="1:24" s="54" customFormat="1" x14ac:dyDescent="0.2">
      <c r="A55" s="56">
        <v>3500</v>
      </c>
      <c r="B55" s="78" t="s">
        <v>304</v>
      </c>
      <c r="C55" s="57">
        <f>C56+C57</f>
        <v>1246245</v>
      </c>
      <c r="D55" s="57">
        <f t="shared" ref="D55:F55" si="94">D56+D57</f>
        <v>838378</v>
      </c>
      <c r="E55" s="57">
        <f>E56+E57</f>
        <v>1059443</v>
      </c>
      <c r="F55" s="57">
        <f t="shared" si="94"/>
        <v>1016352</v>
      </c>
      <c r="G55" s="79">
        <f t="shared" si="68"/>
        <v>-43091</v>
      </c>
      <c r="H55" s="80">
        <f t="shared" si="69"/>
        <v>-4.0673259439158123E-2</v>
      </c>
      <c r="I55" s="540"/>
      <c r="J55" s="77">
        <f t="shared" ref="J55:K55" si="95">J56+J57</f>
        <v>1215389</v>
      </c>
      <c r="K55" s="77">
        <f t="shared" si="95"/>
        <v>0</v>
      </c>
      <c r="L55" s="79">
        <f t="shared" si="86"/>
        <v>-1215389</v>
      </c>
      <c r="M55" s="80">
        <f t="shared" si="87"/>
        <v>-1</v>
      </c>
      <c r="N55" s="540"/>
      <c r="O55" s="77">
        <f t="shared" ref="O55:P55" si="96">O56+O57</f>
        <v>1493292</v>
      </c>
      <c r="P55" s="77">
        <f t="shared" si="96"/>
        <v>0</v>
      </c>
      <c r="Q55" s="79">
        <f t="shared" si="89"/>
        <v>-1493292</v>
      </c>
      <c r="R55" s="80">
        <f t="shared" si="90"/>
        <v>-1</v>
      </c>
      <c r="S55" s="540"/>
      <c r="T55" s="77">
        <f t="shared" ref="T55:U55" si="97">T56+T57</f>
        <v>838378</v>
      </c>
      <c r="U55" s="77">
        <f t="shared" si="97"/>
        <v>0</v>
      </c>
      <c r="V55" s="79">
        <f t="shared" si="92"/>
        <v>-838378</v>
      </c>
      <c r="W55" s="80">
        <f t="shared" si="93"/>
        <v>-1</v>
      </c>
      <c r="X55" s="540"/>
    </row>
    <row r="56" spans="1:24" ht="31.5" x14ac:dyDescent="0.2">
      <c r="A56" s="340">
        <v>3510</v>
      </c>
      <c r="B56" s="60" t="s">
        <v>472</v>
      </c>
      <c r="C56" s="61">
        <v>710213</v>
      </c>
      <c r="D56" s="61">
        <f>C56+C57</f>
        <v>1246245</v>
      </c>
      <c r="E56" s="61">
        <f>D56</f>
        <v>1246245</v>
      </c>
      <c r="F56" s="61">
        <v>1246245</v>
      </c>
      <c r="G56" s="62">
        <f t="shared" si="68"/>
        <v>0</v>
      </c>
      <c r="H56" s="36">
        <f t="shared" si="69"/>
        <v>0</v>
      </c>
      <c r="I56" s="541"/>
      <c r="J56" s="61">
        <f>D56</f>
        <v>1246245</v>
      </c>
      <c r="K56" s="61"/>
      <c r="L56" s="62">
        <f t="shared" si="86"/>
        <v>-1246245</v>
      </c>
      <c r="M56" s="36">
        <f t="shared" si="87"/>
        <v>-1</v>
      </c>
      <c r="N56" s="541"/>
      <c r="O56" s="61">
        <f>D56</f>
        <v>1246245</v>
      </c>
      <c r="P56" s="61"/>
      <c r="Q56" s="62">
        <f t="shared" si="89"/>
        <v>-1246245</v>
      </c>
      <c r="R56" s="36">
        <f t="shared" si="90"/>
        <v>-1</v>
      </c>
      <c r="S56" s="541"/>
      <c r="T56" s="61">
        <f>D56</f>
        <v>1246245</v>
      </c>
      <c r="U56" s="61"/>
      <c r="V56" s="62">
        <f t="shared" si="92"/>
        <v>-1246245</v>
      </c>
      <c r="W56" s="36">
        <f t="shared" si="93"/>
        <v>-1</v>
      </c>
      <c r="X56" s="541"/>
    </row>
    <row r="57" spans="1:24" x14ac:dyDescent="0.2">
      <c r="A57" s="340">
        <v>3520</v>
      </c>
      <c r="B57" s="60" t="s">
        <v>473</v>
      </c>
      <c r="C57" s="61">
        <v>536032</v>
      </c>
      <c r="D57" s="61">
        <f>'PZ Aprēķins'!D20</f>
        <v>-407867</v>
      </c>
      <c r="E57" s="61">
        <f>'PZ Aprēķins'!E20</f>
        <v>-186802</v>
      </c>
      <c r="F57" s="61">
        <f>'PZ Aprēķins'!F20</f>
        <v>-229893</v>
      </c>
      <c r="G57" s="62">
        <f t="shared" si="68"/>
        <v>-43091</v>
      </c>
      <c r="H57" s="36">
        <f t="shared" si="69"/>
        <v>-0.23067740174088072</v>
      </c>
      <c r="I57" s="542"/>
      <c r="J57" s="61">
        <f>'PZ Aprēķins'!J20</f>
        <v>-30856</v>
      </c>
      <c r="K57" s="61"/>
      <c r="L57" s="62">
        <f t="shared" si="86"/>
        <v>30856</v>
      </c>
      <c r="M57" s="36">
        <f t="shared" si="87"/>
        <v>1</v>
      </c>
      <c r="N57" s="542"/>
      <c r="O57" s="61">
        <f>'PZ Aprēķins'!O15</f>
        <v>247047</v>
      </c>
      <c r="P57" s="61"/>
      <c r="Q57" s="62">
        <f t="shared" si="89"/>
        <v>-247047</v>
      </c>
      <c r="R57" s="36">
        <f t="shared" si="90"/>
        <v>-1</v>
      </c>
      <c r="S57" s="542"/>
      <c r="T57" s="61">
        <f>'PZ Aprēķins'!T20</f>
        <v>-407867</v>
      </c>
      <c r="U57" s="61"/>
      <c r="V57" s="62">
        <f t="shared" si="92"/>
        <v>407867</v>
      </c>
      <c r="W57" s="36">
        <f t="shared" si="93"/>
        <v>1</v>
      </c>
      <c r="X57" s="542"/>
    </row>
    <row r="58" spans="1:24" x14ac:dyDescent="0.2">
      <c r="A58" s="411">
        <v>4000</v>
      </c>
      <c r="B58" s="394" t="s">
        <v>305</v>
      </c>
      <c r="C58" s="436">
        <v>0</v>
      </c>
      <c r="D58" s="436">
        <v>0</v>
      </c>
      <c r="E58" s="436">
        <v>0</v>
      </c>
      <c r="F58" s="436">
        <v>0</v>
      </c>
      <c r="G58" s="437">
        <f t="shared" si="68"/>
        <v>0</v>
      </c>
      <c r="H58" s="438" t="str">
        <f t="shared" si="69"/>
        <v>-</v>
      </c>
      <c r="I58" s="439"/>
      <c r="J58" s="436">
        <v>0</v>
      </c>
      <c r="K58" s="436">
        <v>0</v>
      </c>
      <c r="L58" s="437">
        <v>0</v>
      </c>
      <c r="M58" s="438" t="str">
        <f t="shared" si="87"/>
        <v>-</v>
      </c>
      <c r="N58" s="439"/>
      <c r="O58" s="436">
        <v>0</v>
      </c>
      <c r="P58" s="436">
        <v>0</v>
      </c>
      <c r="Q58" s="437">
        <v>0</v>
      </c>
      <c r="R58" s="438" t="str">
        <f t="shared" si="90"/>
        <v>-</v>
      </c>
      <c r="S58" s="439"/>
      <c r="T58" s="436">
        <v>0</v>
      </c>
      <c r="U58" s="436">
        <v>0</v>
      </c>
      <c r="V58" s="437">
        <v>0</v>
      </c>
      <c r="W58" s="438" t="str">
        <f t="shared" si="93"/>
        <v>-</v>
      </c>
      <c r="X58" s="439"/>
    </row>
    <row r="59" spans="1:24" s="54" customFormat="1" x14ac:dyDescent="0.2">
      <c r="A59" s="411">
        <v>5000</v>
      </c>
      <c r="B59" s="394" t="s">
        <v>306</v>
      </c>
      <c r="C59" s="412">
        <f>C60+C70</f>
        <v>1989679</v>
      </c>
      <c r="D59" s="412">
        <f>D60+D70</f>
        <v>2026131</v>
      </c>
      <c r="E59" s="412">
        <f>E60+E70</f>
        <v>2059189</v>
      </c>
      <c r="F59" s="412">
        <f>F60+F70</f>
        <v>1940141</v>
      </c>
      <c r="G59" s="413">
        <f t="shared" si="68"/>
        <v>-119048</v>
      </c>
      <c r="H59" s="414">
        <f t="shared" si="69"/>
        <v>-5.7813051643146887E-2</v>
      </c>
      <c r="I59" s="415"/>
      <c r="J59" s="412">
        <f>J60+J70</f>
        <v>1993753</v>
      </c>
      <c r="K59" s="412">
        <f>K60+K70</f>
        <v>0</v>
      </c>
      <c r="L59" s="413">
        <f t="shared" si="86"/>
        <v>-1993753</v>
      </c>
      <c r="M59" s="414">
        <f t="shared" si="87"/>
        <v>-1</v>
      </c>
      <c r="N59" s="415"/>
      <c r="O59" s="412">
        <f>O60+O70</f>
        <v>1934316</v>
      </c>
      <c r="P59" s="412">
        <f>P60+P70</f>
        <v>0</v>
      </c>
      <c r="Q59" s="413">
        <f t="shared" si="89"/>
        <v>-1934316</v>
      </c>
      <c r="R59" s="414">
        <f t="shared" si="90"/>
        <v>-1</v>
      </c>
      <c r="S59" s="415"/>
      <c r="T59" s="412">
        <f>T60+T70</f>
        <v>2026131</v>
      </c>
      <c r="U59" s="412">
        <f>U60+U70</f>
        <v>0</v>
      </c>
      <c r="V59" s="413">
        <f t="shared" si="92"/>
        <v>-2026131</v>
      </c>
      <c r="W59" s="414">
        <f t="shared" si="93"/>
        <v>-1</v>
      </c>
      <c r="X59" s="415"/>
    </row>
    <row r="60" spans="1:24" s="54" customFormat="1" x14ac:dyDescent="0.2">
      <c r="A60" s="56">
        <v>5100</v>
      </c>
      <c r="B60" s="78" t="s">
        <v>307</v>
      </c>
      <c r="C60" s="57">
        <f>SUM(C61:C69)</f>
        <v>577524</v>
      </c>
      <c r="D60" s="57">
        <f>SUM(D61:D69)</f>
        <v>559777</v>
      </c>
      <c r="E60" s="57">
        <f>SUM(E61:E69)</f>
        <v>577524</v>
      </c>
      <c r="F60" s="57">
        <f>SUM(F61:F69)</f>
        <v>577525</v>
      </c>
      <c r="G60" s="58">
        <f t="shared" si="68"/>
        <v>1</v>
      </c>
      <c r="H60" s="42">
        <f t="shared" si="69"/>
        <v>1.7315297719228985E-6</v>
      </c>
      <c r="I60" s="538"/>
      <c r="J60" s="57">
        <f>SUM(J61:J69)</f>
        <v>577524</v>
      </c>
      <c r="K60" s="57">
        <f>SUM(K61:K69)</f>
        <v>0</v>
      </c>
      <c r="L60" s="58">
        <f t="shared" si="86"/>
        <v>-577524</v>
      </c>
      <c r="M60" s="42">
        <f t="shared" si="87"/>
        <v>-1</v>
      </c>
      <c r="N60" s="538"/>
      <c r="O60" s="57">
        <f>SUM(O61:O69)</f>
        <v>577524</v>
      </c>
      <c r="P60" s="57">
        <f>SUM(P61:P69)</f>
        <v>0</v>
      </c>
      <c r="Q60" s="58">
        <f t="shared" si="89"/>
        <v>-577524</v>
      </c>
      <c r="R60" s="42">
        <f t="shared" si="90"/>
        <v>-1</v>
      </c>
      <c r="S60" s="538"/>
      <c r="T60" s="57">
        <f>SUM(T61:T69)</f>
        <v>559777</v>
      </c>
      <c r="U60" s="57">
        <f>SUM(U61:U69)</f>
        <v>0</v>
      </c>
      <c r="V60" s="58">
        <f t="shared" si="92"/>
        <v>-559777</v>
      </c>
      <c r="W60" s="42">
        <f t="shared" si="93"/>
        <v>-1</v>
      </c>
      <c r="X60" s="538"/>
    </row>
    <row r="61" spans="1:24" x14ac:dyDescent="0.2">
      <c r="A61" s="340">
        <v>5110</v>
      </c>
      <c r="B61" s="60" t="s">
        <v>308</v>
      </c>
      <c r="C61" s="66"/>
      <c r="D61" s="66"/>
      <c r="E61" s="66"/>
      <c r="F61" s="66"/>
      <c r="G61" s="67">
        <f t="shared" si="68"/>
        <v>0</v>
      </c>
      <c r="H61" s="68" t="str">
        <f t="shared" si="69"/>
        <v>-</v>
      </c>
      <c r="I61" s="539"/>
      <c r="J61" s="66"/>
      <c r="K61" s="66"/>
      <c r="L61" s="67">
        <f t="shared" si="86"/>
        <v>0</v>
      </c>
      <c r="M61" s="68" t="str">
        <f t="shared" si="87"/>
        <v>-</v>
      </c>
      <c r="N61" s="539"/>
      <c r="O61" s="66"/>
      <c r="P61" s="66"/>
      <c r="Q61" s="67">
        <f t="shared" si="89"/>
        <v>0</v>
      </c>
      <c r="R61" s="68" t="str">
        <f t="shared" si="90"/>
        <v>-</v>
      </c>
      <c r="S61" s="539"/>
      <c r="T61" s="66"/>
      <c r="U61" s="66"/>
      <c r="V61" s="67">
        <f t="shared" si="92"/>
        <v>0</v>
      </c>
      <c r="W61" s="68" t="str">
        <f t="shared" si="93"/>
        <v>-</v>
      </c>
      <c r="X61" s="539"/>
    </row>
    <row r="62" spans="1:24" x14ac:dyDescent="0.2">
      <c r="A62" s="340">
        <v>5120</v>
      </c>
      <c r="B62" s="60" t="s">
        <v>309</v>
      </c>
      <c r="C62" s="66"/>
      <c r="D62" s="66"/>
      <c r="E62" s="66"/>
      <c r="F62" s="66"/>
      <c r="G62" s="67">
        <f t="shared" si="68"/>
        <v>0</v>
      </c>
      <c r="H62" s="68" t="str">
        <f t="shared" si="69"/>
        <v>-</v>
      </c>
      <c r="I62" s="539"/>
      <c r="J62" s="66"/>
      <c r="K62" s="66"/>
      <c r="L62" s="67">
        <f t="shared" si="86"/>
        <v>0</v>
      </c>
      <c r="M62" s="68" t="str">
        <f t="shared" si="87"/>
        <v>-</v>
      </c>
      <c r="N62" s="539"/>
      <c r="O62" s="66"/>
      <c r="P62" s="66"/>
      <c r="Q62" s="67">
        <f t="shared" si="89"/>
        <v>0</v>
      </c>
      <c r="R62" s="68" t="str">
        <f t="shared" si="90"/>
        <v>-</v>
      </c>
      <c r="S62" s="539"/>
      <c r="T62" s="66"/>
      <c r="U62" s="66"/>
      <c r="V62" s="67">
        <f t="shared" si="92"/>
        <v>0</v>
      </c>
      <c r="W62" s="68" t="str">
        <f t="shared" si="93"/>
        <v>-</v>
      </c>
      <c r="X62" s="539"/>
    </row>
    <row r="63" spans="1:24" x14ac:dyDescent="0.2">
      <c r="A63" s="340">
        <v>5130</v>
      </c>
      <c r="B63" s="60" t="s">
        <v>313</v>
      </c>
      <c r="C63" s="66"/>
      <c r="D63" s="66"/>
      <c r="E63" s="66"/>
      <c r="F63" s="66"/>
      <c r="G63" s="67">
        <f t="shared" ref="G63:G69" si="98">F63-E63</f>
        <v>0</v>
      </c>
      <c r="H63" s="68" t="str">
        <f t="shared" ref="H63:H69" si="99">IFERROR(G63/ABS(E63), "-")</f>
        <v>-</v>
      </c>
      <c r="I63" s="539"/>
      <c r="J63" s="66"/>
      <c r="K63" s="66"/>
      <c r="L63" s="67">
        <f t="shared" ref="L63:L69" si="100">K63-J63</f>
        <v>0</v>
      </c>
      <c r="M63" s="68" t="str">
        <f t="shared" ref="M63:M69" si="101">IFERROR(L63/ABS(J63), "-")</f>
        <v>-</v>
      </c>
      <c r="N63" s="539"/>
      <c r="O63" s="66"/>
      <c r="P63" s="66"/>
      <c r="Q63" s="67">
        <f t="shared" ref="Q63:Q69" si="102">P63-O63</f>
        <v>0</v>
      </c>
      <c r="R63" s="68" t="str">
        <f t="shared" ref="R63:R69" si="103">IFERROR(Q63/ABS(O63), "-")</f>
        <v>-</v>
      </c>
      <c r="S63" s="539"/>
      <c r="T63" s="66"/>
      <c r="U63" s="66"/>
      <c r="V63" s="67">
        <f t="shared" ref="V63:V69" si="104">U63-T63</f>
        <v>0</v>
      </c>
      <c r="W63" s="68" t="str">
        <f t="shared" ref="W63:W69" si="105">IFERROR(V63/ABS(T63), "-")</f>
        <v>-</v>
      </c>
      <c r="X63" s="539"/>
    </row>
    <row r="64" spans="1:24" x14ac:dyDescent="0.2">
      <c r="A64" s="340">
        <v>5140</v>
      </c>
      <c r="B64" s="60" t="s">
        <v>314</v>
      </c>
      <c r="C64" s="66"/>
      <c r="D64" s="66"/>
      <c r="E64" s="66"/>
      <c r="F64" s="66"/>
      <c r="G64" s="67">
        <f t="shared" si="98"/>
        <v>0</v>
      </c>
      <c r="H64" s="68" t="str">
        <f t="shared" si="99"/>
        <v>-</v>
      </c>
      <c r="I64" s="539"/>
      <c r="J64" s="66"/>
      <c r="K64" s="66"/>
      <c r="L64" s="67">
        <f t="shared" si="100"/>
        <v>0</v>
      </c>
      <c r="M64" s="68" t="str">
        <f t="shared" si="101"/>
        <v>-</v>
      </c>
      <c r="N64" s="539"/>
      <c r="O64" s="66"/>
      <c r="P64" s="66"/>
      <c r="Q64" s="67">
        <f t="shared" si="102"/>
        <v>0</v>
      </c>
      <c r="R64" s="68" t="str">
        <f t="shared" si="103"/>
        <v>-</v>
      </c>
      <c r="S64" s="539"/>
      <c r="T64" s="66"/>
      <c r="U64" s="66"/>
      <c r="V64" s="67">
        <f t="shared" si="104"/>
        <v>0</v>
      </c>
      <c r="W64" s="68" t="str">
        <f t="shared" si="105"/>
        <v>-</v>
      </c>
      <c r="X64" s="539"/>
    </row>
    <row r="65" spans="1:24" ht="31.5" x14ac:dyDescent="0.2">
      <c r="A65" s="340">
        <v>5150</v>
      </c>
      <c r="B65" s="60" t="s">
        <v>474</v>
      </c>
      <c r="C65" s="66"/>
      <c r="D65" s="66"/>
      <c r="E65" s="66"/>
      <c r="F65" s="66"/>
      <c r="G65" s="67">
        <f t="shared" si="98"/>
        <v>0</v>
      </c>
      <c r="H65" s="68" t="str">
        <f t="shared" si="99"/>
        <v>-</v>
      </c>
      <c r="I65" s="539"/>
      <c r="J65" s="66"/>
      <c r="K65" s="66"/>
      <c r="L65" s="67">
        <f t="shared" si="100"/>
        <v>0</v>
      </c>
      <c r="M65" s="68" t="str">
        <f t="shared" si="101"/>
        <v>-</v>
      </c>
      <c r="N65" s="539"/>
      <c r="O65" s="66"/>
      <c r="P65" s="66"/>
      <c r="Q65" s="67">
        <f t="shared" si="102"/>
        <v>0</v>
      </c>
      <c r="R65" s="68" t="str">
        <f t="shared" si="103"/>
        <v>-</v>
      </c>
      <c r="S65" s="539"/>
      <c r="T65" s="66"/>
      <c r="U65" s="66"/>
      <c r="V65" s="67">
        <f t="shared" si="104"/>
        <v>0</v>
      </c>
      <c r="W65" s="68" t="str">
        <f t="shared" si="105"/>
        <v>-</v>
      </c>
      <c r="X65" s="539"/>
    </row>
    <row r="66" spans="1:24" x14ac:dyDescent="0.2">
      <c r="A66" s="340">
        <v>5160</v>
      </c>
      <c r="B66" s="60" t="s">
        <v>316</v>
      </c>
      <c r="C66" s="66">
        <v>565</v>
      </c>
      <c r="D66" s="66">
        <v>565</v>
      </c>
      <c r="E66" s="66">
        <v>565</v>
      </c>
      <c r="F66" s="66">
        <v>565</v>
      </c>
      <c r="G66" s="67">
        <f t="shared" si="98"/>
        <v>0</v>
      </c>
      <c r="H66" s="68">
        <f t="shared" si="99"/>
        <v>0</v>
      </c>
      <c r="I66" s="539"/>
      <c r="J66" s="66">
        <v>565</v>
      </c>
      <c r="K66" s="66"/>
      <c r="L66" s="67">
        <f t="shared" si="100"/>
        <v>-565</v>
      </c>
      <c r="M66" s="68">
        <f t="shared" si="101"/>
        <v>-1</v>
      </c>
      <c r="N66" s="539"/>
      <c r="O66" s="66">
        <v>565</v>
      </c>
      <c r="P66" s="66"/>
      <c r="Q66" s="67">
        <f t="shared" si="102"/>
        <v>-565</v>
      </c>
      <c r="R66" s="68">
        <f t="shared" si="103"/>
        <v>-1</v>
      </c>
      <c r="S66" s="539"/>
      <c r="T66" s="66">
        <v>565</v>
      </c>
      <c r="U66" s="66"/>
      <c r="V66" s="67">
        <f t="shared" si="104"/>
        <v>-565</v>
      </c>
      <c r="W66" s="68">
        <f t="shared" si="105"/>
        <v>-1</v>
      </c>
      <c r="X66" s="539"/>
    </row>
    <row r="67" spans="1:24" x14ac:dyDescent="0.2">
      <c r="A67" s="340">
        <v>5170</v>
      </c>
      <c r="B67" s="60" t="s">
        <v>310</v>
      </c>
      <c r="C67" s="66">
        <v>576959</v>
      </c>
      <c r="D67" s="66">
        <f>C67-17747</f>
        <v>559212</v>
      </c>
      <c r="E67" s="66">
        <v>576959</v>
      </c>
      <c r="F67" s="66">
        <v>576960</v>
      </c>
      <c r="G67" s="67">
        <f t="shared" si="98"/>
        <v>1</v>
      </c>
      <c r="H67" s="68">
        <f t="shared" si="99"/>
        <v>1.7332254111643982E-6</v>
      </c>
      <c r="I67" s="539"/>
      <c r="J67" s="66">
        <v>576959</v>
      </c>
      <c r="K67" s="66"/>
      <c r="L67" s="67">
        <f t="shared" si="100"/>
        <v>-576959</v>
      </c>
      <c r="M67" s="68">
        <f t="shared" si="101"/>
        <v>-1</v>
      </c>
      <c r="N67" s="539"/>
      <c r="O67" s="66">
        <v>576959</v>
      </c>
      <c r="P67" s="66"/>
      <c r="Q67" s="67">
        <f t="shared" si="102"/>
        <v>-576959</v>
      </c>
      <c r="R67" s="68">
        <f t="shared" si="103"/>
        <v>-1</v>
      </c>
      <c r="S67" s="539"/>
      <c r="T67" s="66">
        <f>D67</f>
        <v>559212</v>
      </c>
      <c r="U67" s="66"/>
      <c r="V67" s="67">
        <f t="shared" si="104"/>
        <v>-559212</v>
      </c>
      <c r="W67" s="68">
        <f t="shared" si="105"/>
        <v>-1</v>
      </c>
      <c r="X67" s="539"/>
    </row>
    <row r="68" spans="1:24" x14ac:dyDescent="0.2">
      <c r="A68" s="340">
        <v>5180</v>
      </c>
      <c r="B68" s="60" t="s">
        <v>317</v>
      </c>
      <c r="C68" s="66"/>
      <c r="D68" s="66"/>
      <c r="E68" s="66"/>
      <c r="F68" s="66"/>
      <c r="G68" s="67">
        <f t="shared" si="98"/>
        <v>0</v>
      </c>
      <c r="H68" s="68" t="str">
        <f t="shared" si="99"/>
        <v>-</v>
      </c>
      <c r="I68" s="539"/>
      <c r="J68" s="66"/>
      <c r="K68" s="66"/>
      <c r="L68" s="67">
        <f t="shared" si="100"/>
        <v>0</v>
      </c>
      <c r="M68" s="68" t="str">
        <f t="shared" si="101"/>
        <v>-</v>
      </c>
      <c r="N68" s="539"/>
      <c r="O68" s="66"/>
      <c r="P68" s="66"/>
      <c r="Q68" s="67">
        <f t="shared" si="102"/>
        <v>0</v>
      </c>
      <c r="R68" s="68" t="str">
        <f t="shared" si="103"/>
        <v>-</v>
      </c>
      <c r="S68" s="539"/>
      <c r="T68" s="66"/>
      <c r="U68" s="66"/>
      <c r="V68" s="67">
        <f t="shared" si="104"/>
        <v>0</v>
      </c>
      <c r="W68" s="68" t="str">
        <f t="shared" si="105"/>
        <v>-</v>
      </c>
      <c r="X68" s="539"/>
    </row>
    <row r="69" spans="1:24" x14ac:dyDescent="0.2">
      <c r="A69" s="340">
        <v>5190</v>
      </c>
      <c r="B69" s="60" t="s">
        <v>475</v>
      </c>
      <c r="C69" s="66"/>
      <c r="D69" s="66"/>
      <c r="E69" s="66"/>
      <c r="F69" s="66"/>
      <c r="G69" s="67">
        <f t="shared" si="98"/>
        <v>0</v>
      </c>
      <c r="H69" s="68" t="str">
        <f t="shared" si="99"/>
        <v>-</v>
      </c>
      <c r="I69" s="543"/>
      <c r="J69" s="66"/>
      <c r="K69" s="66"/>
      <c r="L69" s="67">
        <f t="shared" si="100"/>
        <v>0</v>
      </c>
      <c r="M69" s="68" t="str">
        <f t="shared" si="101"/>
        <v>-</v>
      </c>
      <c r="N69" s="543"/>
      <c r="O69" s="66"/>
      <c r="P69" s="66"/>
      <c r="Q69" s="67">
        <f t="shared" si="102"/>
        <v>0</v>
      </c>
      <c r="R69" s="68" t="str">
        <f t="shared" si="103"/>
        <v>-</v>
      </c>
      <c r="S69" s="543"/>
      <c r="T69" s="66"/>
      <c r="U69" s="66"/>
      <c r="V69" s="67">
        <f t="shared" si="104"/>
        <v>0</v>
      </c>
      <c r="W69" s="68" t="str">
        <f t="shared" si="105"/>
        <v>-</v>
      </c>
      <c r="X69" s="543"/>
    </row>
    <row r="70" spans="1:24" s="54" customFormat="1" x14ac:dyDescent="0.2">
      <c r="A70" s="56">
        <v>5200</v>
      </c>
      <c r="B70" s="78" t="s">
        <v>312</v>
      </c>
      <c r="C70" s="57">
        <f>SUM(C71:C79)</f>
        <v>1412155</v>
      </c>
      <c r="D70" s="57">
        <f>SUM(D71:D79)</f>
        <v>1466354</v>
      </c>
      <c r="E70" s="57">
        <f>SUM(E71:E79)</f>
        <v>1481665</v>
      </c>
      <c r="F70" s="57">
        <f>SUM(F71:F79)</f>
        <v>1362616</v>
      </c>
      <c r="G70" s="58">
        <f t="shared" si="68"/>
        <v>-119049</v>
      </c>
      <c r="H70" s="42">
        <f t="shared" si="69"/>
        <v>-8.0348121876402556E-2</v>
      </c>
      <c r="I70" s="538"/>
      <c r="J70" s="57">
        <f>SUM(J71:J79)</f>
        <v>1416229</v>
      </c>
      <c r="K70" s="57">
        <f>SUM(K71:K79)</f>
        <v>0</v>
      </c>
      <c r="L70" s="58">
        <f t="shared" ref="L70:L80" si="106">K70-J70</f>
        <v>-1416229</v>
      </c>
      <c r="M70" s="42">
        <f t="shared" ref="M70:M80" si="107">IFERROR(L70/ABS(J70), "-")</f>
        <v>-1</v>
      </c>
      <c r="N70" s="538"/>
      <c r="O70" s="57">
        <f>SUM(O71:O79)</f>
        <v>1356792</v>
      </c>
      <c r="P70" s="57">
        <f>SUM(P71:P79)</f>
        <v>0</v>
      </c>
      <c r="Q70" s="58">
        <f t="shared" ref="Q70:Q80" si="108">P70-O70</f>
        <v>-1356792</v>
      </c>
      <c r="R70" s="42">
        <f t="shared" ref="R70:R80" si="109">IFERROR(Q70/ABS(O70), "-")</f>
        <v>-1</v>
      </c>
      <c r="S70" s="538"/>
      <c r="T70" s="57">
        <f>SUM(T71:T79)</f>
        <v>1466354</v>
      </c>
      <c r="U70" s="57">
        <f>SUM(U71:U79)</f>
        <v>0</v>
      </c>
      <c r="V70" s="58">
        <f t="shared" ref="V70:V80" si="110">U70-T70</f>
        <v>-1466354</v>
      </c>
      <c r="W70" s="42">
        <f t="shared" ref="W70:W80" si="111">IFERROR(V70/ABS(T70), "-")</f>
        <v>-1</v>
      </c>
      <c r="X70" s="538"/>
    </row>
    <row r="71" spans="1:24" x14ac:dyDescent="0.2">
      <c r="A71" s="340">
        <v>5210</v>
      </c>
      <c r="B71" s="60" t="s">
        <v>308</v>
      </c>
      <c r="C71" s="61"/>
      <c r="D71" s="61"/>
      <c r="E71" s="61"/>
      <c r="F71" s="61"/>
      <c r="G71" s="62">
        <f t="shared" si="68"/>
        <v>0</v>
      </c>
      <c r="H71" s="36" t="str">
        <f t="shared" si="69"/>
        <v>-</v>
      </c>
      <c r="I71" s="539"/>
      <c r="J71" s="61"/>
      <c r="K71" s="61"/>
      <c r="L71" s="62">
        <f t="shared" si="106"/>
        <v>0</v>
      </c>
      <c r="M71" s="36" t="str">
        <f t="shared" si="107"/>
        <v>-</v>
      </c>
      <c r="N71" s="539"/>
      <c r="O71" s="61"/>
      <c r="P71" s="61"/>
      <c r="Q71" s="62">
        <f t="shared" si="108"/>
        <v>0</v>
      </c>
      <c r="R71" s="36" t="str">
        <f t="shared" si="109"/>
        <v>-</v>
      </c>
      <c r="S71" s="539"/>
      <c r="T71" s="61"/>
      <c r="U71" s="61"/>
      <c r="V71" s="62">
        <f t="shared" si="110"/>
        <v>0</v>
      </c>
      <c r="W71" s="36" t="str">
        <f t="shared" si="111"/>
        <v>-</v>
      </c>
      <c r="X71" s="539"/>
    </row>
    <row r="72" spans="1:24" x14ac:dyDescent="0.2">
      <c r="A72" s="340">
        <v>5220</v>
      </c>
      <c r="B72" s="60" t="s">
        <v>309</v>
      </c>
      <c r="C72" s="61"/>
      <c r="D72" s="61"/>
      <c r="E72" s="61"/>
      <c r="F72" s="61"/>
      <c r="G72" s="62">
        <f t="shared" si="68"/>
        <v>0</v>
      </c>
      <c r="H72" s="36" t="str">
        <f t="shared" si="69"/>
        <v>-</v>
      </c>
      <c r="I72" s="539"/>
      <c r="J72" s="61"/>
      <c r="K72" s="61"/>
      <c r="L72" s="62">
        <f t="shared" si="106"/>
        <v>0</v>
      </c>
      <c r="M72" s="36" t="str">
        <f t="shared" si="107"/>
        <v>-</v>
      </c>
      <c r="N72" s="539"/>
      <c r="O72" s="61"/>
      <c r="P72" s="61"/>
      <c r="Q72" s="62">
        <f t="shared" si="108"/>
        <v>0</v>
      </c>
      <c r="R72" s="36" t="str">
        <f t="shared" si="109"/>
        <v>-</v>
      </c>
      <c r="S72" s="539"/>
      <c r="T72" s="61"/>
      <c r="U72" s="61"/>
      <c r="V72" s="62">
        <f t="shared" si="110"/>
        <v>0</v>
      </c>
      <c r="W72" s="36" t="str">
        <f t="shared" si="111"/>
        <v>-</v>
      </c>
      <c r="X72" s="539"/>
    </row>
    <row r="73" spans="1:24" x14ac:dyDescent="0.2">
      <c r="A73" s="340">
        <v>5230</v>
      </c>
      <c r="B73" s="60" t="s">
        <v>313</v>
      </c>
      <c r="C73" s="61">
        <v>52</v>
      </c>
      <c r="D73" s="61">
        <v>0</v>
      </c>
      <c r="E73" s="61">
        <v>0</v>
      </c>
      <c r="F73" s="61"/>
      <c r="G73" s="62">
        <f t="shared" si="68"/>
        <v>0</v>
      </c>
      <c r="H73" s="36" t="str">
        <f t="shared" si="69"/>
        <v>-</v>
      </c>
      <c r="I73" s="539"/>
      <c r="J73" s="61">
        <v>0</v>
      </c>
      <c r="K73" s="61"/>
      <c r="L73" s="62">
        <f t="shared" si="106"/>
        <v>0</v>
      </c>
      <c r="M73" s="36" t="str">
        <f t="shared" si="107"/>
        <v>-</v>
      </c>
      <c r="N73" s="539"/>
      <c r="O73" s="61">
        <v>0</v>
      </c>
      <c r="P73" s="61"/>
      <c r="Q73" s="62">
        <f t="shared" si="108"/>
        <v>0</v>
      </c>
      <c r="R73" s="36" t="str">
        <f t="shared" si="109"/>
        <v>-</v>
      </c>
      <c r="S73" s="539"/>
      <c r="T73" s="61">
        <v>0</v>
      </c>
      <c r="U73" s="61"/>
      <c r="V73" s="62">
        <f t="shared" si="110"/>
        <v>0</v>
      </c>
      <c r="W73" s="36" t="str">
        <f t="shared" si="111"/>
        <v>-</v>
      </c>
      <c r="X73" s="539"/>
    </row>
    <row r="74" spans="1:24" x14ac:dyDescent="0.2">
      <c r="A74" s="340">
        <v>5240</v>
      </c>
      <c r="B74" s="60" t="s">
        <v>314</v>
      </c>
      <c r="C74" s="61">
        <v>62921</v>
      </c>
      <c r="D74" s="61">
        <v>68000</v>
      </c>
      <c r="E74" s="61">
        <v>96000</v>
      </c>
      <c r="F74" s="61">
        <v>127214</v>
      </c>
      <c r="G74" s="62">
        <f t="shared" si="68"/>
        <v>31214</v>
      </c>
      <c r="H74" s="36">
        <f t="shared" si="69"/>
        <v>0.32514583333333336</v>
      </c>
      <c r="I74" s="539"/>
      <c r="J74" s="61">
        <v>85000</v>
      </c>
      <c r="K74" s="61"/>
      <c r="L74" s="62">
        <f t="shared" si="106"/>
        <v>-85000</v>
      </c>
      <c r="M74" s="36">
        <f t="shared" si="107"/>
        <v>-1</v>
      </c>
      <c r="N74" s="539"/>
      <c r="O74" s="61">
        <v>85000</v>
      </c>
      <c r="P74" s="61"/>
      <c r="Q74" s="62">
        <f t="shared" si="108"/>
        <v>-85000</v>
      </c>
      <c r="R74" s="36">
        <f t="shared" si="109"/>
        <v>-1</v>
      </c>
      <c r="S74" s="539"/>
      <c r="T74" s="61">
        <f>D74</f>
        <v>68000</v>
      </c>
      <c r="U74" s="61"/>
      <c r="V74" s="62">
        <f t="shared" si="110"/>
        <v>-68000</v>
      </c>
      <c r="W74" s="36">
        <f t="shared" si="111"/>
        <v>-1</v>
      </c>
      <c r="X74" s="539"/>
    </row>
    <row r="75" spans="1:24" ht="31.5" x14ac:dyDescent="0.2">
      <c r="A75" s="340">
        <v>5250</v>
      </c>
      <c r="B75" s="60" t="s">
        <v>474</v>
      </c>
      <c r="C75" s="61">
        <v>351882</v>
      </c>
      <c r="D75" s="61">
        <v>352000</v>
      </c>
      <c r="E75" s="61">
        <v>375000</v>
      </c>
      <c r="F75" s="61">
        <v>335236</v>
      </c>
      <c r="G75" s="62">
        <f t="shared" ref="G75" si="112">F75-E75</f>
        <v>-39764</v>
      </c>
      <c r="H75" s="36">
        <f t="shared" ref="H75" si="113">IFERROR(G75/ABS(E75), "-")</f>
        <v>-0.10603733333333333</v>
      </c>
      <c r="I75" s="539"/>
      <c r="J75" s="61">
        <v>375000</v>
      </c>
      <c r="K75" s="61"/>
      <c r="L75" s="62">
        <f t="shared" si="106"/>
        <v>-375000</v>
      </c>
      <c r="M75" s="36">
        <f t="shared" si="107"/>
        <v>-1</v>
      </c>
      <c r="N75" s="539"/>
      <c r="O75" s="61">
        <v>360000</v>
      </c>
      <c r="P75" s="61"/>
      <c r="Q75" s="62">
        <f t="shared" si="108"/>
        <v>-360000</v>
      </c>
      <c r="R75" s="36">
        <f t="shared" si="109"/>
        <v>-1</v>
      </c>
      <c r="S75" s="539"/>
      <c r="T75" s="61">
        <v>352000</v>
      </c>
      <c r="U75" s="61"/>
      <c r="V75" s="62">
        <f t="shared" si="110"/>
        <v>-352000</v>
      </c>
      <c r="W75" s="36">
        <f t="shared" si="111"/>
        <v>-1</v>
      </c>
      <c r="X75" s="539"/>
    </row>
    <row r="76" spans="1:24" x14ac:dyDescent="0.2">
      <c r="A76" s="340">
        <v>5260</v>
      </c>
      <c r="B76" s="60" t="s">
        <v>316</v>
      </c>
      <c r="C76" s="61">
        <v>574489</v>
      </c>
      <c r="D76" s="61">
        <v>600000</v>
      </c>
      <c r="E76" s="61">
        <v>650000</v>
      </c>
      <c r="F76" s="61">
        <v>539400</v>
      </c>
      <c r="G76" s="62">
        <f t="shared" si="68"/>
        <v>-110600</v>
      </c>
      <c r="H76" s="36">
        <f t="shared" si="69"/>
        <v>-0.17015384615384616</v>
      </c>
      <c r="I76" s="539"/>
      <c r="J76" s="61">
        <v>600000</v>
      </c>
      <c r="K76" s="61"/>
      <c r="L76" s="62">
        <f t="shared" si="106"/>
        <v>-600000</v>
      </c>
      <c r="M76" s="36">
        <f t="shared" si="107"/>
        <v>-1</v>
      </c>
      <c r="N76" s="539"/>
      <c r="O76" s="61">
        <v>560000</v>
      </c>
      <c r="P76" s="61"/>
      <c r="Q76" s="62">
        <f t="shared" si="108"/>
        <v>-560000</v>
      </c>
      <c r="R76" s="36">
        <f t="shared" si="109"/>
        <v>-1</v>
      </c>
      <c r="S76" s="539"/>
      <c r="T76" s="61">
        <f>D76</f>
        <v>600000</v>
      </c>
      <c r="U76" s="61"/>
      <c r="V76" s="62">
        <f t="shared" si="110"/>
        <v>-600000</v>
      </c>
      <c r="W76" s="36">
        <f t="shared" si="111"/>
        <v>-1</v>
      </c>
      <c r="X76" s="539"/>
    </row>
    <row r="77" spans="1:24" x14ac:dyDescent="0.2">
      <c r="A77" s="340">
        <v>5270</v>
      </c>
      <c r="B77" s="60" t="s">
        <v>310</v>
      </c>
      <c r="C77" s="61">
        <v>17747</v>
      </c>
      <c r="D77" s="61">
        <v>17747</v>
      </c>
      <c r="E77" s="61">
        <v>13310</v>
      </c>
      <c r="F77" s="61">
        <v>13310</v>
      </c>
      <c r="G77" s="62">
        <f t="shared" si="68"/>
        <v>0</v>
      </c>
      <c r="H77" s="36">
        <f t="shared" si="69"/>
        <v>0</v>
      </c>
      <c r="I77" s="539"/>
      <c r="J77" s="61">
        <v>8874</v>
      </c>
      <c r="K77" s="61"/>
      <c r="L77" s="62">
        <f t="shared" si="106"/>
        <v>-8874</v>
      </c>
      <c r="M77" s="36">
        <f t="shared" si="107"/>
        <v>-1</v>
      </c>
      <c r="N77" s="539"/>
      <c r="O77" s="61">
        <v>4437</v>
      </c>
      <c r="P77" s="61"/>
      <c r="Q77" s="62">
        <f t="shared" si="108"/>
        <v>-4437</v>
      </c>
      <c r="R77" s="36">
        <f t="shared" si="109"/>
        <v>-1</v>
      </c>
      <c r="S77" s="539"/>
      <c r="T77" s="61">
        <f>D77</f>
        <v>17747</v>
      </c>
      <c r="U77" s="61"/>
      <c r="V77" s="62">
        <f t="shared" si="110"/>
        <v>-17747</v>
      </c>
      <c r="W77" s="36">
        <f t="shared" si="111"/>
        <v>-1</v>
      </c>
      <c r="X77" s="539"/>
    </row>
    <row r="78" spans="1:24" x14ac:dyDescent="0.2">
      <c r="A78" s="340">
        <v>5280</v>
      </c>
      <c r="B78" s="60" t="s">
        <v>317</v>
      </c>
      <c r="C78" s="61">
        <v>405064</v>
      </c>
      <c r="D78" s="61">
        <f>407355+21252</f>
        <v>428607</v>
      </c>
      <c r="E78" s="61">
        <v>347355</v>
      </c>
      <c r="F78" s="61">
        <v>347456</v>
      </c>
      <c r="G78" s="62">
        <f t="shared" si="68"/>
        <v>101</v>
      </c>
      <c r="H78" s="36">
        <f t="shared" si="69"/>
        <v>2.907688100070533E-4</v>
      </c>
      <c r="I78" s="539"/>
      <c r="J78" s="61">
        <v>347355</v>
      </c>
      <c r="K78" s="61"/>
      <c r="L78" s="62">
        <f t="shared" si="106"/>
        <v>-347355</v>
      </c>
      <c r="M78" s="36">
        <f t="shared" si="107"/>
        <v>-1</v>
      </c>
      <c r="N78" s="539"/>
      <c r="O78" s="61">
        <v>347355</v>
      </c>
      <c r="P78" s="61"/>
      <c r="Q78" s="62">
        <f t="shared" si="108"/>
        <v>-347355</v>
      </c>
      <c r="R78" s="36">
        <f t="shared" si="109"/>
        <v>-1</v>
      </c>
      <c r="S78" s="539"/>
      <c r="T78" s="61">
        <f>D78</f>
        <v>428607</v>
      </c>
      <c r="U78" s="61"/>
      <c r="V78" s="62">
        <f t="shared" si="110"/>
        <v>-428607</v>
      </c>
      <c r="W78" s="36">
        <f t="shared" si="111"/>
        <v>-1</v>
      </c>
      <c r="X78" s="539"/>
    </row>
    <row r="79" spans="1:24" x14ac:dyDescent="0.2">
      <c r="A79" s="340">
        <v>5290</v>
      </c>
      <c r="B79" s="60" t="s">
        <v>475</v>
      </c>
      <c r="C79" s="61"/>
      <c r="D79" s="61"/>
      <c r="E79" s="61"/>
      <c r="F79" s="61"/>
      <c r="G79" s="62">
        <f t="shared" si="68"/>
        <v>0</v>
      </c>
      <c r="H79" s="36" t="str">
        <f t="shared" si="69"/>
        <v>-</v>
      </c>
      <c r="I79" s="543"/>
      <c r="J79" s="61"/>
      <c r="K79" s="61"/>
      <c r="L79" s="62">
        <f t="shared" si="106"/>
        <v>0</v>
      </c>
      <c r="M79" s="36" t="str">
        <f t="shared" si="107"/>
        <v>-</v>
      </c>
      <c r="N79" s="543"/>
      <c r="O79" s="61"/>
      <c r="P79" s="61"/>
      <c r="Q79" s="62">
        <f t="shared" si="108"/>
        <v>0</v>
      </c>
      <c r="R79" s="36" t="str">
        <f t="shared" si="109"/>
        <v>-</v>
      </c>
      <c r="S79" s="543"/>
      <c r="T79" s="61"/>
      <c r="U79" s="61"/>
      <c r="V79" s="62">
        <f t="shared" si="110"/>
        <v>0</v>
      </c>
      <c r="W79" s="36" t="str">
        <f t="shared" si="111"/>
        <v>-</v>
      </c>
      <c r="X79" s="543"/>
    </row>
    <row r="80" spans="1:24" s="54" customFormat="1" x14ac:dyDescent="0.2">
      <c r="A80" s="431"/>
      <c r="B80" s="424" t="s">
        <v>635</v>
      </c>
      <c r="C80" s="425">
        <f>C59+C58+C49</f>
        <v>16004250</v>
      </c>
      <c r="D80" s="425">
        <f>D59+D58+D49</f>
        <v>15632835</v>
      </c>
      <c r="E80" s="425">
        <f>E59+E58+E49</f>
        <v>15886958</v>
      </c>
      <c r="F80" s="425">
        <f>F59+F58+F49</f>
        <v>15724819</v>
      </c>
      <c r="G80" s="426">
        <f t="shared" si="68"/>
        <v>-162139</v>
      </c>
      <c r="H80" s="427">
        <f t="shared" si="69"/>
        <v>-1.0205792701157767E-2</v>
      </c>
      <c r="I80" s="428"/>
      <c r="J80" s="425">
        <f>J59+J58+J49</f>
        <v>15977468</v>
      </c>
      <c r="K80" s="425">
        <f>K59+K58+K49</f>
        <v>0</v>
      </c>
      <c r="L80" s="426">
        <f t="shared" si="106"/>
        <v>-15977468</v>
      </c>
      <c r="M80" s="427">
        <f t="shared" si="107"/>
        <v>-1</v>
      </c>
      <c r="N80" s="428"/>
      <c r="O80" s="425">
        <f>O59+O58+O49</f>
        <v>16195934</v>
      </c>
      <c r="P80" s="425">
        <f>P59+P58+P49</f>
        <v>0</v>
      </c>
      <c r="Q80" s="426">
        <f t="shared" si="108"/>
        <v>-16195934</v>
      </c>
      <c r="R80" s="427">
        <f t="shared" si="109"/>
        <v>-1</v>
      </c>
      <c r="S80" s="428"/>
      <c r="T80" s="425">
        <f>T59+T58+T49</f>
        <v>15632835</v>
      </c>
      <c r="U80" s="425">
        <f>U59+U58+U49</f>
        <v>0</v>
      </c>
      <c r="V80" s="426">
        <f t="shared" si="110"/>
        <v>-15632835</v>
      </c>
      <c r="W80" s="427">
        <f t="shared" si="111"/>
        <v>-1</v>
      </c>
      <c r="X80" s="428"/>
    </row>
    <row r="81" spans="1:24" x14ac:dyDescent="0.2">
      <c r="A81" s="544"/>
      <c r="B81" s="545"/>
      <c r="C81" s="545"/>
      <c r="D81" s="545"/>
      <c r="E81" s="545"/>
      <c r="F81" s="545"/>
      <c r="G81" s="545"/>
      <c r="H81" s="545"/>
      <c r="I81" s="545"/>
      <c r="L81" s="63"/>
      <c r="M81" s="63"/>
      <c r="Q81" s="63"/>
      <c r="R81" s="63"/>
      <c r="V81" s="63"/>
      <c r="W81" s="63"/>
    </row>
    <row r="82" spans="1:24" s="54" customFormat="1" x14ac:dyDescent="0.2">
      <c r="A82" s="432" t="s">
        <v>148</v>
      </c>
      <c r="B82" s="394" t="s">
        <v>636</v>
      </c>
      <c r="C82" s="412">
        <f>SUM(C83:C84)</f>
        <v>1989679</v>
      </c>
      <c r="D82" s="412">
        <f t="shared" ref="D82:F82" si="114">SUM(D83:D84)</f>
        <v>2026131</v>
      </c>
      <c r="E82" s="412">
        <f t="shared" si="114"/>
        <v>2059189</v>
      </c>
      <c r="F82" s="412">
        <f t="shared" si="114"/>
        <v>1940141</v>
      </c>
      <c r="G82" s="413">
        <f t="shared" ref="G82:G84" si="115">F82-E82</f>
        <v>-119048</v>
      </c>
      <c r="H82" s="414">
        <f t="shared" si="69"/>
        <v>-5.7813051643146887E-2</v>
      </c>
      <c r="I82" s="415"/>
      <c r="J82" s="412">
        <f t="shared" ref="J82:K82" si="116">SUM(J83:J84)</f>
        <v>1993753</v>
      </c>
      <c r="K82" s="412">
        <f t="shared" si="116"/>
        <v>0</v>
      </c>
      <c r="L82" s="413">
        <f t="shared" ref="L82:L84" si="117">K82-J82</f>
        <v>-1993753</v>
      </c>
      <c r="M82" s="414">
        <f t="shared" ref="M82:M84" si="118">IFERROR(L82/ABS(J82), "-")</f>
        <v>-1</v>
      </c>
      <c r="N82" s="415"/>
      <c r="O82" s="412">
        <f t="shared" ref="O82:P82" si="119">SUM(O83:O84)</f>
        <v>1934316</v>
      </c>
      <c r="P82" s="412">
        <f t="shared" si="119"/>
        <v>0</v>
      </c>
      <c r="Q82" s="413">
        <f t="shared" ref="Q82:Q84" si="120">P82-O82</f>
        <v>-1934316</v>
      </c>
      <c r="R82" s="414">
        <f t="shared" ref="R82:R84" si="121">IFERROR(Q82/ABS(O82), "-")</f>
        <v>-1</v>
      </c>
      <c r="S82" s="415"/>
      <c r="T82" s="412">
        <f t="shared" ref="T82:U82" si="122">SUM(T83:T84)</f>
        <v>2026131</v>
      </c>
      <c r="U82" s="412">
        <f t="shared" si="122"/>
        <v>0</v>
      </c>
      <c r="V82" s="413">
        <f t="shared" ref="V82:V84" si="123">U82-T82</f>
        <v>-2026131</v>
      </c>
      <c r="W82" s="414">
        <f t="shared" ref="W82:W84" si="124">IFERROR(V82/ABS(T82), "-")</f>
        <v>-1</v>
      </c>
      <c r="X82" s="415"/>
    </row>
    <row r="83" spans="1:24" s="54" customFormat="1" x14ac:dyDescent="0.2">
      <c r="A83" s="56">
        <v>5100</v>
      </c>
      <c r="B83" s="84" t="s">
        <v>329</v>
      </c>
      <c r="C83" s="57">
        <f>C60</f>
        <v>577524</v>
      </c>
      <c r="D83" s="57">
        <f>D60</f>
        <v>559777</v>
      </c>
      <c r="E83" s="57">
        <f>E60</f>
        <v>577524</v>
      </c>
      <c r="F83" s="57">
        <f>F60</f>
        <v>577525</v>
      </c>
      <c r="G83" s="58">
        <f t="shared" si="115"/>
        <v>1</v>
      </c>
      <c r="H83" s="42">
        <f t="shared" si="69"/>
        <v>1.7315297719228985E-6</v>
      </c>
      <c r="I83" s="410"/>
      <c r="J83" s="57">
        <f>J60</f>
        <v>577524</v>
      </c>
      <c r="K83" s="57">
        <f>K60</f>
        <v>0</v>
      </c>
      <c r="L83" s="58">
        <f t="shared" si="117"/>
        <v>-577524</v>
      </c>
      <c r="M83" s="42">
        <f t="shared" si="118"/>
        <v>-1</v>
      </c>
      <c r="N83" s="410"/>
      <c r="O83" s="57">
        <f>O60</f>
        <v>577524</v>
      </c>
      <c r="P83" s="57">
        <f>P60</f>
        <v>0</v>
      </c>
      <c r="Q83" s="58">
        <f t="shared" si="120"/>
        <v>-577524</v>
      </c>
      <c r="R83" s="42">
        <f t="shared" si="121"/>
        <v>-1</v>
      </c>
      <c r="S83" s="410"/>
      <c r="T83" s="57">
        <f>T60</f>
        <v>559777</v>
      </c>
      <c r="U83" s="57">
        <f>U60</f>
        <v>0</v>
      </c>
      <c r="V83" s="58">
        <f t="shared" si="123"/>
        <v>-559777</v>
      </c>
      <c r="W83" s="42">
        <f t="shared" si="124"/>
        <v>-1</v>
      </c>
      <c r="X83" s="410"/>
    </row>
    <row r="84" spans="1:24" s="54" customFormat="1" x14ac:dyDescent="0.2">
      <c r="A84" s="56">
        <v>5200</v>
      </c>
      <c r="B84" s="85" t="s">
        <v>330</v>
      </c>
      <c r="C84" s="57">
        <f>C70</f>
        <v>1412155</v>
      </c>
      <c r="D84" s="57">
        <f t="shared" ref="D84:F84" si="125">D70</f>
        <v>1466354</v>
      </c>
      <c r="E84" s="57">
        <f>E70</f>
        <v>1481665</v>
      </c>
      <c r="F84" s="57">
        <f t="shared" si="125"/>
        <v>1362616</v>
      </c>
      <c r="G84" s="58">
        <f t="shared" si="115"/>
        <v>-119049</v>
      </c>
      <c r="H84" s="42">
        <f t="shared" si="69"/>
        <v>-8.0348121876402556E-2</v>
      </c>
      <c r="I84" s="410"/>
      <c r="J84" s="57">
        <f t="shared" ref="J84:K84" si="126">J70</f>
        <v>1416229</v>
      </c>
      <c r="K84" s="57">
        <f t="shared" si="126"/>
        <v>0</v>
      </c>
      <c r="L84" s="58">
        <f t="shared" si="117"/>
        <v>-1416229</v>
      </c>
      <c r="M84" s="42">
        <f t="shared" si="118"/>
        <v>-1</v>
      </c>
      <c r="N84" s="410"/>
      <c r="O84" s="57">
        <f t="shared" ref="O84:P84" si="127">O70</f>
        <v>1356792</v>
      </c>
      <c r="P84" s="57">
        <f t="shared" si="127"/>
        <v>0</v>
      </c>
      <c r="Q84" s="58">
        <f t="shared" si="120"/>
        <v>-1356792</v>
      </c>
      <c r="R84" s="42">
        <f t="shared" si="121"/>
        <v>-1</v>
      </c>
      <c r="S84" s="410"/>
      <c r="T84" s="57">
        <f t="shared" ref="T84:U84" si="128">T70</f>
        <v>1466354</v>
      </c>
      <c r="U84" s="57">
        <f t="shared" si="128"/>
        <v>0</v>
      </c>
      <c r="V84" s="58">
        <f t="shared" si="123"/>
        <v>-1466354</v>
      </c>
      <c r="W84" s="42">
        <f t="shared" si="124"/>
        <v>-1</v>
      </c>
      <c r="X84" s="410"/>
    </row>
    <row r="85" spans="1:24" s="54" customFormat="1" x14ac:dyDescent="0.2">
      <c r="A85" s="70"/>
      <c r="B85" s="71"/>
      <c r="C85" s="72"/>
      <c r="D85" s="72">
        <f ca="1">D47-D80</f>
        <v>0</v>
      </c>
      <c r="E85" s="72">
        <f>E47-E80</f>
        <v>0</v>
      </c>
      <c r="F85" s="72">
        <f>F47-F80</f>
        <v>0</v>
      </c>
      <c r="G85" s="73"/>
      <c r="H85" s="74"/>
      <c r="I85" s="75"/>
      <c r="J85" s="72">
        <f ca="1">J47-J80</f>
        <v>0</v>
      </c>
      <c r="K85" s="72"/>
      <c r="L85" s="73"/>
      <c r="M85" s="74"/>
      <c r="N85" s="75"/>
      <c r="O85" s="72">
        <f ca="1">O47-O80</f>
        <v>0</v>
      </c>
      <c r="P85" s="72"/>
      <c r="Q85" s="73"/>
      <c r="R85" s="74"/>
      <c r="S85" s="75"/>
      <c r="T85" s="72">
        <f ca="1">T47-T80</f>
        <v>0</v>
      </c>
      <c r="U85" s="72"/>
      <c r="V85" s="73"/>
      <c r="W85" s="74"/>
      <c r="X85" s="75"/>
    </row>
    <row r="86" spans="1:24" x14ac:dyDescent="0.2">
      <c r="A86" s="529" t="s">
        <v>497</v>
      </c>
      <c r="B86" s="529"/>
    </row>
    <row r="87" spans="1:24" ht="21.6" customHeight="1" x14ac:dyDescent="0.2">
      <c r="A87" s="537" t="s">
        <v>501</v>
      </c>
      <c r="B87" s="537"/>
      <c r="C87" s="537"/>
      <c r="D87" s="537"/>
      <c r="E87" s="537"/>
      <c r="F87" s="537"/>
      <c r="G87" s="537"/>
      <c r="H87" s="86"/>
      <c r="I87" s="86"/>
      <c r="J87" s="86"/>
      <c r="K87" s="86"/>
      <c r="L87" s="86"/>
      <c r="M87" s="86"/>
      <c r="N87" s="86"/>
      <c r="O87" s="86"/>
    </row>
  </sheetData>
  <sheetProtection formatCells="0" formatColumns="0" formatRows="0"/>
  <mergeCells count="31">
    <mergeCell ref="N26:N35"/>
    <mergeCell ref="I26:I35"/>
    <mergeCell ref="X26:X35"/>
    <mergeCell ref="I11:I20"/>
    <mergeCell ref="N11:N20"/>
    <mergeCell ref="S11:S20"/>
    <mergeCell ref="X11:X20"/>
    <mergeCell ref="I4:I10"/>
    <mergeCell ref="N4:N10"/>
    <mergeCell ref="S4:S10"/>
    <mergeCell ref="X4:X10"/>
    <mergeCell ref="A87:G87"/>
    <mergeCell ref="A86:B86"/>
    <mergeCell ref="I55:I57"/>
    <mergeCell ref="I52:I54"/>
    <mergeCell ref="A81:I81"/>
    <mergeCell ref="I60:I69"/>
    <mergeCell ref="I70:I79"/>
    <mergeCell ref="N52:N54"/>
    <mergeCell ref="N55:N57"/>
    <mergeCell ref="N60:N69"/>
    <mergeCell ref="N70:N79"/>
    <mergeCell ref="S26:S35"/>
    <mergeCell ref="S52:S54"/>
    <mergeCell ref="S55:S57"/>
    <mergeCell ref="S60:S69"/>
    <mergeCell ref="S70:S79"/>
    <mergeCell ref="X52:X54"/>
    <mergeCell ref="X55:X57"/>
    <mergeCell ref="X60:X69"/>
    <mergeCell ref="X70:X79"/>
  </mergeCells>
  <pageMargins left="0.23622047244094491" right="0.23622047244094491" top="0.74803149606299213" bottom="0.74803149606299213" header="0.31496062992125984" footer="0.31496062992125984"/>
  <pageSetup paperSize="9" scale="56" fitToHeight="0" orientation="landscape" horizontalDpi="4294967293" verticalDpi="9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7"/>
  <sheetViews>
    <sheetView view="pageBreakPreview" zoomScale="70" zoomScaleNormal="70" zoomScaleSheetLayoutView="70" zoomScalePageLayoutView="40" workbookViewId="0">
      <pane ySplit="1" topLeftCell="A19" activePane="bottomLeft" state="frozen"/>
      <selection pane="bottomLeft" activeCell="K23" sqref="K23"/>
    </sheetView>
  </sheetViews>
  <sheetFormatPr defaultColWidth="9.140625" defaultRowHeight="15.75" outlineLevelCol="1" x14ac:dyDescent="0.2"/>
  <cols>
    <col min="1" max="1" width="8.42578125" style="231" bestFit="1" customWidth="1"/>
    <col min="2" max="2" width="52" style="54" customWidth="1"/>
    <col min="3" max="3" width="18.28515625" style="54" bestFit="1" customWidth="1"/>
    <col min="4" max="4" width="20.85546875" style="232" customWidth="1"/>
    <col min="5" max="5" width="21.42578125" style="54" customWidth="1"/>
    <col min="6" max="6" width="20.85546875" style="54" hidden="1" customWidth="1" outlineLevel="1"/>
    <col min="7" max="7" width="22" style="87" hidden="1" customWidth="1" outlineLevel="1"/>
    <col min="8" max="8" width="21.5703125" style="87" hidden="1" customWidth="1" outlineLevel="1"/>
    <col min="9" max="9" width="37.28515625" style="54" hidden="1" customWidth="1" outlineLevel="1"/>
    <col min="10" max="10" width="21.42578125" style="54" customWidth="1" collapsed="1"/>
    <col min="11" max="11" width="20.85546875" style="54" customWidth="1" outlineLevel="1"/>
    <col min="12" max="12" width="20.85546875" style="87" customWidth="1" outlineLevel="1"/>
    <col min="13" max="13" width="21.5703125" style="87" customWidth="1" outlineLevel="1"/>
    <col min="14" max="14" width="37.28515625" style="54" customWidth="1" outlineLevel="1"/>
    <col min="15" max="15" width="21.42578125" style="54" customWidth="1"/>
    <col min="16" max="16" width="20.85546875" style="54" hidden="1" customWidth="1" outlineLevel="1"/>
    <col min="17" max="17" width="21.42578125" style="87" hidden="1" customWidth="1" outlineLevel="1"/>
    <col min="18" max="18" width="21.5703125" style="87" hidden="1" customWidth="1" outlineLevel="1"/>
    <col min="19" max="19" width="37.28515625" style="54" hidden="1" customWidth="1" outlineLevel="1"/>
    <col min="20" max="20" width="21.42578125" style="54" customWidth="1" collapsed="1"/>
    <col min="21" max="21" width="20.85546875" style="54" hidden="1" customWidth="1" outlineLevel="1"/>
    <col min="22" max="22" width="20.42578125" style="87" hidden="1" customWidth="1" outlineLevel="1"/>
    <col min="23" max="23" width="21.5703125" style="87" hidden="1" customWidth="1" outlineLevel="1"/>
    <col min="24" max="24" width="37.28515625" style="54" hidden="1" customWidth="1" outlineLevel="1"/>
    <col min="25" max="25" width="9.140625" style="54" collapsed="1"/>
    <col min="26" max="16384" width="9.140625" style="54"/>
  </cols>
  <sheetData>
    <row r="1" spans="1:24" ht="48.6" customHeight="1" x14ac:dyDescent="0.2">
      <c r="A1" s="28" t="s">
        <v>0</v>
      </c>
      <c r="B1" s="53" t="s">
        <v>570</v>
      </c>
      <c r="C1" s="29" t="s">
        <v>637</v>
      </c>
      <c r="D1" s="29" t="s">
        <v>638</v>
      </c>
      <c r="E1" s="29" t="s">
        <v>639</v>
      </c>
      <c r="F1" s="29" t="s">
        <v>643</v>
      </c>
      <c r="G1" s="30" t="s">
        <v>409</v>
      </c>
      <c r="H1" s="31" t="s">
        <v>410</v>
      </c>
      <c r="I1" s="29" t="s">
        <v>569</v>
      </c>
      <c r="J1" s="29" t="s">
        <v>640</v>
      </c>
      <c r="K1" s="29" t="s">
        <v>703</v>
      </c>
      <c r="L1" s="30" t="s">
        <v>704</v>
      </c>
      <c r="M1" s="31" t="s">
        <v>705</v>
      </c>
      <c r="N1" s="29" t="s">
        <v>569</v>
      </c>
      <c r="O1" s="29" t="s">
        <v>641</v>
      </c>
      <c r="P1" s="29" t="s">
        <v>486</v>
      </c>
      <c r="Q1" s="30" t="s">
        <v>409</v>
      </c>
      <c r="R1" s="31" t="s">
        <v>410</v>
      </c>
      <c r="S1" s="29" t="s">
        <v>569</v>
      </c>
      <c r="T1" s="29" t="s">
        <v>642</v>
      </c>
      <c r="U1" s="29" t="s">
        <v>487</v>
      </c>
      <c r="V1" s="30" t="s">
        <v>409</v>
      </c>
      <c r="W1" s="31" t="s">
        <v>410</v>
      </c>
      <c r="X1" s="29" t="s">
        <v>569</v>
      </c>
    </row>
    <row r="2" spans="1:24" ht="12" customHeight="1" x14ac:dyDescent="0.2">
      <c r="A2" s="55">
        <v>1</v>
      </c>
      <c r="B2" s="29">
        <v>2</v>
      </c>
      <c r="C2" s="29">
        <v>3</v>
      </c>
      <c r="D2" s="29">
        <v>4</v>
      </c>
      <c r="E2" s="29">
        <v>5</v>
      </c>
      <c r="F2" s="29">
        <v>6</v>
      </c>
      <c r="G2" s="30">
        <v>7</v>
      </c>
      <c r="H2" s="32">
        <v>8</v>
      </c>
      <c r="I2" s="29">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ht="15.6" customHeight="1" x14ac:dyDescent="0.2">
      <c r="A3" s="139">
        <v>10000</v>
      </c>
      <c r="B3" s="84" t="s">
        <v>149</v>
      </c>
      <c r="C3" s="140">
        <v>1553186</v>
      </c>
      <c r="D3" s="141">
        <f>C47</f>
        <v>2308208</v>
      </c>
      <c r="E3" s="142">
        <f>D3</f>
        <v>2308208</v>
      </c>
      <c r="F3" s="142">
        <f>E3</f>
        <v>2308208</v>
      </c>
      <c r="G3" s="143">
        <f>F3-E3</f>
        <v>0</v>
      </c>
      <c r="H3" s="42">
        <f>IFERROR(G3/ABS(E3), "-")</f>
        <v>0</v>
      </c>
      <c r="I3" s="404"/>
      <c r="J3" s="142">
        <f>D3</f>
        <v>2308208</v>
      </c>
      <c r="K3" s="142">
        <f>I47</f>
        <v>0</v>
      </c>
      <c r="L3" s="143">
        <f>K3-J3</f>
        <v>-2308208</v>
      </c>
      <c r="M3" s="42">
        <f>IFERROR(L3/ABS(J3), "-")</f>
        <v>-1</v>
      </c>
      <c r="N3" s="404"/>
      <c r="O3" s="142">
        <f>D3</f>
        <v>2308208</v>
      </c>
      <c r="P3" s="142">
        <f>N47</f>
        <v>0</v>
      </c>
      <c r="Q3" s="143">
        <f>P3-O3</f>
        <v>-2308208</v>
      </c>
      <c r="R3" s="42">
        <f>IFERROR(Q3/ABS(O3), "-")</f>
        <v>-1</v>
      </c>
      <c r="S3" s="404"/>
      <c r="T3" s="142">
        <f>D3</f>
        <v>2308208</v>
      </c>
      <c r="U3" s="142">
        <f>S47</f>
        <v>0</v>
      </c>
      <c r="V3" s="143">
        <f>U3-T3</f>
        <v>-2308208</v>
      </c>
      <c r="W3" s="42">
        <f>IFERROR(V3/ABS(T3), "-")</f>
        <v>-1</v>
      </c>
      <c r="X3" s="404"/>
    </row>
    <row r="4" spans="1:24" ht="15.6" customHeight="1" x14ac:dyDescent="0.2">
      <c r="A4" s="397" t="s">
        <v>158</v>
      </c>
      <c r="B4" s="552" t="s">
        <v>150</v>
      </c>
      <c r="C4" s="552"/>
      <c r="D4" s="552"/>
      <c r="E4" s="552"/>
      <c r="F4" s="552"/>
      <c r="G4" s="552"/>
      <c r="H4" s="398"/>
      <c r="I4" s="399"/>
      <c r="J4" s="400"/>
      <c r="K4" s="400"/>
      <c r="L4" s="400"/>
      <c r="M4" s="398"/>
      <c r="N4" s="399"/>
      <c r="O4" s="400"/>
      <c r="P4" s="400"/>
      <c r="Q4" s="400"/>
      <c r="R4" s="398"/>
      <c r="S4" s="399"/>
      <c r="T4" s="400"/>
      <c r="U4" s="400"/>
      <c r="V4" s="400"/>
      <c r="W4" s="398"/>
      <c r="X4" s="399"/>
    </row>
    <row r="5" spans="1:24" ht="15.6" customHeight="1" x14ac:dyDescent="0.2">
      <c r="A5" s="139">
        <v>11000</v>
      </c>
      <c r="B5" s="84" t="s">
        <v>151</v>
      </c>
      <c r="C5" s="141">
        <f>C6+C11+C12+C13+C14+C15</f>
        <v>12437440</v>
      </c>
      <c r="D5" s="141">
        <f>D6+D11+D12+D13+D14+D15</f>
        <v>12045975</v>
      </c>
      <c r="E5" s="141">
        <f>E6+E11+E12+E13+E14+E15</f>
        <v>2676800</v>
      </c>
      <c r="F5" s="141">
        <f>F6+F11+F12+F13+F14+F15</f>
        <v>2492547</v>
      </c>
      <c r="G5" s="144">
        <f t="shared" ref="G5:G19" si="0">F5-E5</f>
        <v>-184253</v>
      </c>
      <c r="H5" s="145">
        <f t="shared" ref="H5:H30" si="1">IFERROR(G5/ABS(E5), "-")</f>
        <v>-6.8833308427973694E-2</v>
      </c>
      <c r="I5" s="402"/>
      <c r="J5" s="141">
        <f>J6+J11+J12+J13+J14+J15</f>
        <v>5830177</v>
      </c>
      <c r="K5" s="141">
        <f>K6+K11+K12+K13+K14+K15</f>
        <v>0</v>
      </c>
      <c r="L5" s="144">
        <f t="shared" ref="L5:L19" si="2">K5-J5</f>
        <v>-5830177</v>
      </c>
      <c r="M5" s="145">
        <f t="shared" ref="M5:M54" si="3">IFERROR(L5/ABS(J5), "-")</f>
        <v>-1</v>
      </c>
      <c r="N5" s="402"/>
      <c r="O5" s="141">
        <f>O6+O11+O12+O13+O14+O15</f>
        <v>8935491</v>
      </c>
      <c r="P5" s="141">
        <f>P6+P11+P12+P13+P14+P15</f>
        <v>0</v>
      </c>
      <c r="Q5" s="144">
        <f t="shared" ref="Q5:Q19" si="4">P5-O5</f>
        <v>-8935491</v>
      </c>
      <c r="R5" s="145">
        <f t="shared" ref="R5:R54" si="5">IFERROR(Q5/ABS(O5), "-")</f>
        <v>-1</v>
      </c>
      <c r="S5" s="402"/>
      <c r="T5" s="141">
        <f>T6+T11+T12+T13+T14+T15</f>
        <v>12045975</v>
      </c>
      <c r="U5" s="141">
        <f>U6+U11+U12+U13+U14+U15</f>
        <v>0</v>
      </c>
      <c r="V5" s="144">
        <f t="shared" ref="V5:V19" si="6">U5-T5</f>
        <v>-12045975</v>
      </c>
      <c r="W5" s="145">
        <f t="shared" ref="W5:W54" si="7">IFERROR(V5/ABS(T5), "-")</f>
        <v>-1</v>
      </c>
      <c r="X5" s="402"/>
    </row>
    <row r="6" spans="1:24" ht="15.6" customHeight="1" x14ac:dyDescent="0.2">
      <c r="A6" s="88">
        <v>11100</v>
      </c>
      <c r="B6" s="89" t="s">
        <v>152</v>
      </c>
      <c r="C6" s="90">
        <f>C7+C8+C9+C10</f>
        <v>12152273</v>
      </c>
      <c r="D6" s="90">
        <f t="shared" ref="D6:F6" si="8">D7+D8+D9+D10</f>
        <v>11762300</v>
      </c>
      <c r="E6" s="90">
        <f t="shared" si="8"/>
        <v>2605860</v>
      </c>
      <c r="F6" s="90">
        <f t="shared" si="8"/>
        <v>2413543</v>
      </c>
      <c r="G6" s="91">
        <f t="shared" si="0"/>
        <v>-192317</v>
      </c>
      <c r="H6" s="92">
        <f t="shared" si="1"/>
        <v>-7.3801739157130467E-2</v>
      </c>
      <c r="I6" s="93"/>
      <c r="J6" s="90">
        <f t="shared" ref="J6:K6" si="9">J7+J8+J9+J10</f>
        <v>5688290</v>
      </c>
      <c r="K6" s="90">
        <f t="shared" si="9"/>
        <v>0</v>
      </c>
      <c r="L6" s="91">
        <f t="shared" si="2"/>
        <v>-5688290</v>
      </c>
      <c r="M6" s="92">
        <f t="shared" si="3"/>
        <v>-1</v>
      </c>
      <c r="N6" s="93"/>
      <c r="O6" s="90">
        <f t="shared" ref="O6:P6" si="10">O7+O8+O9+O10</f>
        <v>8722661</v>
      </c>
      <c r="P6" s="90">
        <f t="shared" si="10"/>
        <v>0</v>
      </c>
      <c r="Q6" s="91">
        <f t="shared" si="4"/>
        <v>-8722661</v>
      </c>
      <c r="R6" s="92">
        <f t="shared" si="5"/>
        <v>-1</v>
      </c>
      <c r="S6" s="93"/>
      <c r="T6" s="90">
        <f t="shared" ref="T6:U6" si="11">T7+T8+T9+T10</f>
        <v>11762300</v>
      </c>
      <c r="U6" s="90">
        <f t="shared" si="11"/>
        <v>0</v>
      </c>
      <c r="V6" s="91">
        <f t="shared" si="6"/>
        <v>-11762300</v>
      </c>
      <c r="W6" s="92">
        <f t="shared" si="7"/>
        <v>-1</v>
      </c>
      <c r="X6" s="93"/>
    </row>
    <row r="7" spans="1:24" s="222" customFormat="1" ht="15.6" customHeight="1" x14ac:dyDescent="0.2">
      <c r="A7" s="88">
        <v>11110</v>
      </c>
      <c r="B7" s="94" t="s">
        <v>96</v>
      </c>
      <c r="C7" s="90">
        <v>9682330</v>
      </c>
      <c r="D7" s="90">
        <v>9710100</v>
      </c>
      <c r="E7" s="90">
        <v>2163210</v>
      </c>
      <c r="F7" s="90">
        <f>1972174+435</f>
        <v>1972609</v>
      </c>
      <c r="G7" s="91">
        <f t="shared" si="0"/>
        <v>-190601</v>
      </c>
      <c r="H7" s="92">
        <f t="shared" si="1"/>
        <v>-8.8110262064247116E-2</v>
      </c>
      <c r="I7" s="95"/>
      <c r="J7" s="90">
        <v>4673400</v>
      </c>
      <c r="K7" s="90"/>
      <c r="L7" s="91">
        <f t="shared" si="2"/>
        <v>-4673400</v>
      </c>
      <c r="M7" s="92">
        <f t="shared" si="3"/>
        <v>-1</v>
      </c>
      <c r="N7" s="95"/>
      <c r="O7" s="90">
        <v>7191850</v>
      </c>
      <c r="P7" s="90"/>
      <c r="Q7" s="91">
        <f t="shared" si="4"/>
        <v>-7191850</v>
      </c>
      <c r="R7" s="92">
        <f t="shared" si="5"/>
        <v>-1</v>
      </c>
      <c r="S7" s="95"/>
      <c r="T7" s="90">
        <f>D7</f>
        <v>9710100</v>
      </c>
      <c r="U7" s="90"/>
      <c r="V7" s="91">
        <f t="shared" si="6"/>
        <v>-9710100</v>
      </c>
      <c r="W7" s="92">
        <f t="shared" si="7"/>
        <v>-1</v>
      </c>
      <c r="X7" s="95"/>
    </row>
    <row r="8" spans="1:24" s="223" customFormat="1" ht="15.6" customHeight="1" x14ac:dyDescent="0.2">
      <c r="A8" s="88">
        <v>11120</v>
      </c>
      <c r="B8" s="96" t="s">
        <v>102</v>
      </c>
      <c r="C8" s="90">
        <v>1437267</v>
      </c>
      <c r="D8" s="90">
        <v>1652300</v>
      </c>
      <c r="E8" s="90">
        <f>384650-20000</f>
        <v>364650</v>
      </c>
      <c r="F8" s="90">
        <v>344997</v>
      </c>
      <c r="G8" s="91">
        <f t="shared" si="0"/>
        <v>-19653</v>
      </c>
      <c r="H8" s="92">
        <f t="shared" si="1"/>
        <v>-5.3895516248457426E-2</v>
      </c>
      <c r="I8" s="95"/>
      <c r="J8" s="90">
        <v>817825</v>
      </c>
      <c r="K8" s="90"/>
      <c r="L8" s="91">
        <f t="shared" si="2"/>
        <v>-817825</v>
      </c>
      <c r="M8" s="92">
        <f t="shared" si="3"/>
        <v>-1</v>
      </c>
      <c r="N8" s="95"/>
      <c r="O8" s="90">
        <v>1230811</v>
      </c>
      <c r="P8" s="90"/>
      <c r="Q8" s="91">
        <f t="shared" si="4"/>
        <v>-1230811</v>
      </c>
      <c r="R8" s="92">
        <f t="shared" si="5"/>
        <v>-1</v>
      </c>
      <c r="S8" s="95"/>
      <c r="T8" s="90">
        <f>D8</f>
        <v>1652300</v>
      </c>
      <c r="U8" s="90"/>
      <c r="V8" s="91">
        <f t="shared" si="6"/>
        <v>-1652300</v>
      </c>
      <c r="W8" s="92">
        <f t="shared" si="7"/>
        <v>-1</v>
      </c>
      <c r="X8" s="95"/>
    </row>
    <row r="9" spans="1:24" s="223" customFormat="1" ht="15.6" customHeight="1" x14ac:dyDescent="0.2">
      <c r="A9" s="88">
        <v>11130</v>
      </c>
      <c r="B9" s="96" t="s">
        <v>108</v>
      </c>
      <c r="C9" s="90">
        <v>471669</v>
      </c>
      <c r="D9" s="90">
        <v>399900</v>
      </c>
      <c r="E9" s="90">
        <f>90000-12000</f>
        <v>78000</v>
      </c>
      <c r="F9" s="90">
        <v>95937</v>
      </c>
      <c r="G9" s="91">
        <f t="shared" si="0"/>
        <v>17937</v>
      </c>
      <c r="H9" s="92">
        <f t="shared" si="1"/>
        <v>0.22996153846153847</v>
      </c>
      <c r="I9" s="95" t="s">
        <v>695</v>
      </c>
      <c r="J9" s="90">
        <v>197065</v>
      </c>
      <c r="K9" s="90"/>
      <c r="L9" s="91">
        <f t="shared" si="2"/>
        <v>-197065</v>
      </c>
      <c r="M9" s="92">
        <f t="shared" si="3"/>
        <v>-1</v>
      </c>
      <c r="N9" s="95"/>
      <c r="O9" s="90">
        <v>300000</v>
      </c>
      <c r="P9" s="90"/>
      <c r="Q9" s="91">
        <f t="shared" si="4"/>
        <v>-300000</v>
      </c>
      <c r="R9" s="92">
        <f t="shared" si="5"/>
        <v>-1</v>
      </c>
      <c r="S9" s="95"/>
      <c r="T9" s="90">
        <f>D9</f>
        <v>399900</v>
      </c>
      <c r="U9" s="90"/>
      <c r="V9" s="91">
        <f t="shared" si="6"/>
        <v>-399900</v>
      </c>
      <c r="W9" s="92">
        <f t="shared" si="7"/>
        <v>-1</v>
      </c>
      <c r="X9" s="95"/>
    </row>
    <row r="10" spans="1:24" s="223" customFormat="1" ht="15.6" customHeight="1" x14ac:dyDescent="0.2">
      <c r="A10" s="88">
        <v>11140</v>
      </c>
      <c r="B10" s="96" t="s">
        <v>84</v>
      </c>
      <c r="C10" s="90">
        <v>561007</v>
      </c>
      <c r="D10" s="90">
        <v>0</v>
      </c>
      <c r="E10" s="90">
        <v>0</v>
      </c>
      <c r="F10" s="90"/>
      <c r="G10" s="91">
        <f t="shared" si="0"/>
        <v>0</v>
      </c>
      <c r="H10" s="92" t="str">
        <f t="shared" si="1"/>
        <v>-</v>
      </c>
      <c r="I10" s="95"/>
      <c r="J10" s="90">
        <v>0</v>
      </c>
      <c r="K10" s="90"/>
      <c r="L10" s="91">
        <f t="shared" si="2"/>
        <v>0</v>
      </c>
      <c r="M10" s="92" t="str">
        <f t="shared" si="3"/>
        <v>-</v>
      </c>
      <c r="N10" s="95"/>
      <c r="O10" s="90">
        <v>0</v>
      </c>
      <c r="P10" s="90"/>
      <c r="Q10" s="91">
        <f t="shared" si="4"/>
        <v>0</v>
      </c>
      <c r="R10" s="92" t="str">
        <f t="shared" si="5"/>
        <v>-</v>
      </c>
      <c r="S10" s="95"/>
      <c r="T10" s="90">
        <v>0</v>
      </c>
      <c r="U10" s="90"/>
      <c r="V10" s="91">
        <f t="shared" si="6"/>
        <v>0</v>
      </c>
      <c r="W10" s="92" t="str">
        <f t="shared" si="7"/>
        <v>-</v>
      </c>
      <c r="X10" s="95"/>
    </row>
    <row r="11" spans="1:24" ht="15.6" customHeight="1" x14ac:dyDescent="0.2">
      <c r="A11" s="88">
        <v>11200</v>
      </c>
      <c r="B11" s="97" t="s">
        <v>463</v>
      </c>
      <c r="C11" s="98"/>
      <c r="D11" s="98"/>
      <c r="E11" s="98"/>
      <c r="F11" s="98"/>
      <c r="G11" s="99">
        <f t="shared" si="0"/>
        <v>0</v>
      </c>
      <c r="H11" s="100" t="str">
        <f t="shared" si="1"/>
        <v>-</v>
      </c>
      <c r="I11" s="101"/>
      <c r="J11" s="98"/>
      <c r="K11" s="98"/>
      <c r="L11" s="99">
        <f t="shared" si="2"/>
        <v>0</v>
      </c>
      <c r="M11" s="100" t="str">
        <f t="shared" si="3"/>
        <v>-</v>
      </c>
      <c r="N11" s="101"/>
      <c r="O11" s="98"/>
      <c r="P11" s="98"/>
      <c r="Q11" s="99">
        <f t="shared" si="4"/>
        <v>0</v>
      </c>
      <c r="R11" s="100" t="str">
        <f t="shared" si="5"/>
        <v>-</v>
      </c>
      <c r="S11" s="101"/>
      <c r="T11" s="98"/>
      <c r="U11" s="98"/>
      <c r="V11" s="99">
        <f t="shared" si="6"/>
        <v>0</v>
      </c>
      <c r="W11" s="100" t="str">
        <f t="shared" si="7"/>
        <v>-</v>
      </c>
      <c r="X11" s="101"/>
    </row>
    <row r="12" spans="1:24" ht="15.6" customHeight="1" x14ac:dyDescent="0.2">
      <c r="A12" s="88">
        <v>11300</v>
      </c>
      <c r="B12" s="102" t="s">
        <v>153</v>
      </c>
      <c r="C12" s="98">
        <v>235099</v>
      </c>
      <c r="D12" s="98">
        <v>233675</v>
      </c>
      <c r="E12" s="98">
        <v>58415</v>
      </c>
      <c r="F12" s="98">
        <v>66458</v>
      </c>
      <c r="G12" s="99">
        <f t="shared" si="0"/>
        <v>8043</v>
      </c>
      <c r="H12" s="100">
        <f t="shared" si="1"/>
        <v>0.13768723786698622</v>
      </c>
      <c r="I12" s="101"/>
      <c r="J12" s="98">
        <v>116837</v>
      </c>
      <c r="K12" s="98"/>
      <c r="L12" s="99">
        <f t="shared" si="2"/>
        <v>-116837</v>
      </c>
      <c r="M12" s="100">
        <f t="shared" si="3"/>
        <v>-1</v>
      </c>
      <c r="N12" s="101"/>
      <c r="O12" s="98">
        <v>175255</v>
      </c>
      <c r="P12" s="98"/>
      <c r="Q12" s="99">
        <f t="shared" si="4"/>
        <v>-175255</v>
      </c>
      <c r="R12" s="100">
        <f t="shared" si="5"/>
        <v>-1</v>
      </c>
      <c r="S12" s="101"/>
      <c r="T12" s="98">
        <f>D12</f>
        <v>233675</v>
      </c>
      <c r="U12" s="98"/>
      <c r="V12" s="99">
        <f t="shared" si="6"/>
        <v>-233675</v>
      </c>
      <c r="W12" s="100">
        <f t="shared" si="7"/>
        <v>-1</v>
      </c>
      <c r="X12" s="101"/>
    </row>
    <row r="13" spans="1:24" ht="15.6" customHeight="1" x14ac:dyDescent="0.2">
      <c r="A13" s="88">
        <v>11400</v>
      </c>
      <c r="B13" s="18" t="s">
        <v>4</v>
      </c>
      <c r="C13" s="103">
        <v>41544</v>
      </c>
      <c r="D13" s="103">
        <v>41500</v>
      </c>
      <c r="E13" s="103">
        <v>10400</v>
      </c>
      <c r="F13" s="103">
        <v>10412</v>
      </c>
      <c r="G13" s="104">
        <f t="shared" si="0"/>
        <v>12</v>
      </c>
      <c r="H13" s="68">
        <f t="shared" si="1"/>
        <v>1.153846153846154E-3</v>
      </c>
      <c r="I13" s="105"/>
      <c r="J13" s="103">
        <v>20800</v>
      </c>
      <c r="K13" s="103"/>
      <c r="L13" s="104">
        <f t="shared" si="2"/>
        <v>-20800</v>
      </c>
      <c r="M13" s="68">
        <f t="shared" si="3"/>
        <v>-1</v>
      </c>
      <c r="N13" s="105"/>
      <c r="O13" s="103">
        <v>31200</v>
      </c>
      <c r="P13" s="103"/>
      <c r="Q13" s="104">
        <f t="shared" si="4"/>
        <v>-31200</v>
      </c>
      <c r="R13" s="68">
        <f t="shared" si="5"/>
        <v>-1</v>
      </c>
      <c r="S13" s="105"/>
      <c r="T13" s="103">
        <f>D13</f>
        <v>41500</v>
      </c>
      <c r="U13" s="103"/>
      <c r="V13" s="104">
        <f t="shared" si="6"/>
        <v>-41500</v>
      </c>
      <c r="W13" s="68">
        <f t="shared" si="7"/>
        <v>-1</v>
      </c>
      <c r="X13" s="105"/>
    </row>
    <row r="14" spans="1:24" ht="15.6" customHeight="1" x14ac:dyDescent="0.2">
      <c r="A14" s="88">
        <v>11500</v>
      </c>
      <c r="B14" s="18" t="s">
        <v>258</v>
      </c>
      <c r="C14" s="103">
        <v>8524</v>
      </c>
      <c r="D14" s="103">
        <v>8500</v>
      </c>
      <c r="E14" s="103">
        <v>2125</v>
      </c>
      <c r="F14" s="103">
        <v>2134</v>
      </c>
      <c r="G14" s="104">
        <f t="shared" si="0"/>
        <v>9</v>
      </c>
      <c r="H14" s="68">
        <f t="shared" si="1"/>
        <v>4.2352941176470585E-3</v>
      </c>
      <c r="I14" s="105"/>
      <c r="J14" s="103">
        <v>4250</v>
      </c>
      <c r="K14" s="103"/>
      <c r="L14" s="104">
        <f t="shared" si="2"/>
        <v>-4250</v>
      </c>
      <c r="M14" s="68">
        <f t="shared" si="3"/>
        <v>-1</v>
      </c>
      <c r="N14" s="105"/>
      <c r="O14" s="103">
        <v>6375</v>
      </c>
      <c r="P14" s="103"/>
      <c r="Q14" s="104">
        <f t="shared" si="4"/>
        <v>-6375</v>
      </c>
      <c r="R14" s="68">
        <f t="shared" si="5"/>
        <v>-1</v>
      </c>
      <c r="S14" s="105"/>
      <c r="T14" s="103">
        <v>8500</v>
      </c>
      <c r="U14" s="103"/>
      <c r="V14" s="104">
        <f t="shared" si="6"/>
        <v>-8500</v>
      </c>
      <c r="W14" s="68">
        <f t="shared" si="7"/>
        <v>-1</v>
      </c>
      <c r="X14" s="105"/>
    </row>
    <row r="15" spans="1:24" ht="15.6" customHeight="1" x14ac:dyDescent="0.2">
      <c r="A15" s="88">
        <v>11600</v>
      </c>
      <c r="B15" s="106" t="s">
        <v>7</v>
      </c>
      <c r="C15" s="103"/>
      <c r="D15" s="103"/>
      <c r="E15" s="103"/>
      <c r="F15" s="103"/>
      <c r="G15" s="104">
        <f t="shared" si="0"/>
        <v>0</v>
      </c>
      <c r="H15" s="68" t="str">
        <f t="shared" si="1"/>
        <v>-</v>
      </c>
      <c r="I15" s="105"/>
      <c r="J15" s="103"/>
      <c r="K15" s="103"/>
      <c r="L15" s="104">
        <f t="shared" si="2"/>
        <v>0</v>
      </c>
      <c r="M15" s="68" t="str">
        <f t="shared" si="3"/>
        <v>-</v>
      </c>
      <c r="N15" s="105"/>
      <c r="O15" s="103"/>
      <c r="P15" s="103"/>
      <c r="Q15" s="104">
        <f t="shared" si="4"/>
        <v>0</v>
      </c>
      <c r="R15" s="68" t="str">
        <f t="shared" si="5"/>
        <v>-</v>
      </c>
      <c r="S15" s="105"/>
      <c r="T15" s="103"/>
      <c r="U15" s="103"/>
      <c r="V15" s="104">
        <f t="shared" si="6"/>
        <v>0</v>
      </c>
      <c r="W15" s="68" t="str">
        <f t="shared" si="7"/>
        <v>-</v>
      </c>
      <c r="X15" s="105"/>
    </row>
    <row r="16" spans="1:24" ht="15.6" customHeight="1" x14ac:dyDescent="0.2">
      <c r="A16" s="139">
        <v>12000</v>
      </c>
      <c r="B16" s="84" t="s">
        <v>154</v>
      </c>
      <c r="C16" s="142">
        <f>C17+C18</f>
        <v>11373309</v>
      </c>
      <c r="D16" s="142">
        <f>D17+D18</f>
        <v>12179900</v>
      </c>
      <c r="E16" s="142">
        <f>E17+E18</f>
        <v>3046250</v>
      </c>
      <c r="F16" s="142">
        <f>F17+F18</f>
        <v>2940925</v>
      </c>
      <c r="G16" s="143">
        <f t="shared" si="0"/>
        <v>-105325</v>
      </c>
      <c r="H16" s="42">
        <f t="shared" si="1"/>
        <v>-3.4575297496922446E-2</v>
      </c>
      <c r="I16" s="404"/>
      <c r="J16" s="142">
        <f>J17+J18</f>
        <v>5825200</v>
      </c>
      <c r="K16" s="142">
        <f>K17+K18</f>
        <v>0</v>
      </c>
      <c r="L16" s="143">
        <f t="shared" si="2"/>
        <v>-5825200</v>
      </c>
      <c r="M16" s="42">
        <f t="shared" si="3"/>
        <v>-1</v>
      </c>
      <c r="N16" s="404"/>
      <c r="O16" s="142">
        <f>O17+O18</f>
        <v>8598850</v>
      </c>
      <c r="P16" s="142">
        <f>P17+P18</f>
        <v>0</v>
      </c>
      <c r="Q16" s="143">
        <f t="shared" si="4"/>
        <v>-8598850</v>
      </c>
      <c r="R16" s="42">
        <f t="shared" si="5"/>
        <v>-1</v>
      </c>
      <c r="S16" s="404"/>
      <c r="T16" s="142">
        <f>T17+T18</f>
        <v>12179900</v>
      </c>
      <c r="U16" s="142">
        <f>U17+U18</f>
        <v>0</v>
      </c>
      <c r="V16" s="143">
        <f t="shared" si="6"/>
        <v>-12179900</v>
      </c>
      <c r="W16" s="42">
        <f t="shared" si="7"/>
        <v>-1</v>
      </c>
      <c r="X16" s="404"/>
    </row>
    <row r="17" spans="1:24" ht="15.6" customHeight="1" x14ac:dyDescent="0.2">
      <c r="A17" s="88">
        <v>12100</v>
      </c>
      <c r="B17" s="89" t="s">
        <v>155</v>
      </c>
      <c r="C17" s="98">
        <v>11311205</v>
      </c>
      <c r="D17" s="98">
        <v>12114900</v>
      </c>
      <c r="E17" s="98">
        <f>3050000-20000</f>
        <v>3030000</v>
      </c>
      <c r="F17" s="98">
        <f>2934454-5023</f>
        <v>2929431</v>
      </c>
      <c r="G17" s="99">
        <f t="shared" si="0"/>
        <v>-100569</v>
      </c>
      <c r="H17" s="100">
        <f t="shared" si="1"/>
        <v>-3.3191089108910894E-2</v>
      </c>
      <c r="I17" s="107"/>
      <c r="J17" s="98">
        <v>5792700</v>
      </c>
      <c r="K17" s="98"/>
      <c r="L17" s="99">
        <f t="shared" si="2"/>
        <v>-5792700</v>
      </c>
      <c r="M17" s="100">
        <f t="shared" si="3"/>
        <v>-1</v>
      </c>
      <c r="N17" s="107"/>
      <c r="O17" s="98">
        <f>8600150-50000</f>
        <v>8550150</v>
      </c>
      <c r="P17" s="98"/>
      <c r="Q17" s="99">
        <f t="shared" si="4"/>
        <v>-8550150</v>
      </c>
      <c r="R17" s="100">
        <f t="shared" si="5"/>
        <v>-1</v>
      </c>
      <c r="S17" s="107"/>
      <c r="T17" s="98">
        <f>D17</f>
        <v>12114900</v>
      </c>
      <c r="U17" s="98"/>
      <c r="V17" s="99">
        <f t="shared" si="6"/>
        <v>-12114900</v>
      </c>
      <c r="W17" s="100">
        <f t="shared" si="7"/>
        <v>-1</v>
      </c>
      <c r="X17" s="107"/>
    </row>
    <row r="18" spans="1:24" ht="15.6" customHeight="1" x14ac:dyDescent="0.2">
      <c r="A18" s="88">
        <v>12200</v>
      </c>
      <c r="B18" s="89" t="s">
        <v>156</v>
      </c>
      <c r="C18" s="98">
        <v>62104</v>
      </c>
      <c r="D18" s="98">
        <v>65000</v>
      </c>
      <c r="E18" s="98">
        <v>16250</v>
      </c>
      <c r="F18" s="98">
        <f>6471+5023</f>
        <v>11494</v>
      </c>
      <c r="G18" s="99">
        <f t="shared" si="0"/>
        <v>-4756</v>
      </c>
      <c r="H18" s="100">
        <f t="shared" si="1"/>
        <v>-0.29267692307692306</v>
      </c>
      <c r="I18" s="101"/>
      <c r="J18" s="98">
        <v>32500</v>
      </c>
      <c r="K18" s="98"/>
      <c r="L18" s="99">
        <f t="shared" si="2"/>
        <v>-32500</v>
      </c>
      <c r="M18" s="100">
        <f t="shared" si="3"/>
        <v>-1</v>
      </c>
      <c r="N18" s="101"/>
      <c r="O18" s="98">
        <v>48700</v>
      </c>
      <c r="P18" s="98"/>
      <c r="Q18" s="99">
        <f t="shared" si="4"/>
        <v>-48700</v>
      </c>
      <c r="R18" s="100">
        <f t="shared" si="5"/>
        <v>-1</v>
      </c>
      <c r="S18" s="101"/>
      <c r="T18" s="98">
        <f>D18</f>
        <v>65000</v>
      </c>
      <c r="U18" s="98"/>
      <c r="V18" s="99">
        <f t="shared" si="6"/>
        <v>-65000</v>
      </c>
      <c r="W18" s="100">
        <f t="shared" si="7"/>
        <v>-1</v>
      </c>
      <c r="X18" s="101"/>
    </row>
    <row r="19" spans="1:24" ht="29.45" customHeight="1" x14ac:dyDescent="0.2">
      <c r="A19" s="139">
        <v>13000</v>
      </c>
      <c r="B19" s="146" t="s">
        <v>157</v>
      </c>
      <c r="C19" s="142">
        <f>C5-C16</f>
        <v>1064131</v>
      </c>
      <c r="D19" s="142">
        <f>D5-D16</f>
        <v>-133925</v>
      </c>
      <c r="E19" s="142">
        <f>E5-E16</f>
        <v>-369450</v>
      </c>
      <c r="F19" s="142">
        <f>F5-F16</f>
        <v>-448378</v>
      </c>
      <c r="G19" s="143">
        <f t="shared" si="0"/>
        <v>-78928</v>
      </c>
      <c r="H19" s="42">
        <f t="shared" si="1"/>
        <v>-0.2136364866693734</v>
      </c>
      <c r="I19" s="404"/>
      <c r="J19" s="142">
        <f>J5-J16</f>
        <v>4977</v>
      </c>
      <c r="K19" s="142">
        <f>K5-K16</f>
        <v>0</v>
      </c>
      <c r="L19" s="143">
        <f t="shared" si="2"/>
        <v>-4977</v>
      </c>
      <c r="M19" s="42">
        <f t="shared" si="3"/>
        <v>-1</v>
      </c>
      <c r="N19" s="404"/>
      <c r="O19" s="142">
        <f>O5-O16</f>
        <v>336641</v>
      </c>
      <c r="P19" s="142">
        <f>P5-P16</f>
        <v>0</v>
      </c>
      <c r="Q19" s="143">
        <f t="shared" si="4"/>
        <v>-336641</v>
      </c>
      <c r="R19" s="42">
        <f t="shared" si="5"/>
        <v>-1</v>
      </c>
      <c r="S19" s="404"/>
      <c r="T19" s="142">
        <f>T5-T16</f>
        <v>-133925</v>
      </c>
      <c r="U19" s="142">
        <f>U5-U16</f>
        <v>0</v>
      </c>
      <c r="V19" s="143">
        <f t="shared" si="6"/>
        <v>133925</v>
      </c>
      <c r="W19" s="42">
        <f t="shared" si="7"/>
        <v>1</v>
      </c>
      <c r="X19" s="404"/>
    </row>
    <row r="20" spans="1:24" ht="15.6" customHeight="1" x14ac:dyDescent="0.2">
      <c r="A20" s="397" t="s">
        <v>163</v>
      </c>
      <c r="B20" s="552" t="s">
        <v>159</v>
      </c>
      <c r="C20" s="552"/>
      <c r="D20" s="552"/>
      <c r="E20" s="552"/>
      <c r="F20" s="552"/>
      <c r="G20" s="552"/>
      <c r="H20" s="401" t="str">
        <f t="shared" si="1"/>
        <v>-</v>
      </c>
      <c r="I20" s="399"/>
      <c r="J20" s="400"/>
      <c r="K20" s="400"/>
      <c r="L20" s="400"/>
      <c r="M20" s="401" t="str">
        <f t="shared" si="3"/>
        <v>-</v>
      </c>
      <c r="N20" s="399"/>
      <c r="O20" s="400"/>
      <c r="P20" s="400"/>
      <c r="Q20" s="400"/>
      <c r="R20" s="401" t="str">
        <f t="shared" si="5"/>
        <v>-</v>
      </c>
      <c r="S20" s="399"/>
      <c r="T20" s="400"/>
      <c r="U20" s="400"/>
      <c r="V20" s="400"/>
      <c r="W20" s="401" t="str">
        <f t="shared" si="7"/>
        <v>-</v>
      </c>
      <c r="X20" s="399"/>
    </row>
    <row r="21" spans="1:24" ht="15.6" customHeight="1" x14ac:dyDescent="0.2">
      <c r="A21" s="147">
        <v>14000</v>
      </c>
      <c r="B21" s="148" t="s">
        <v>265</v>
      </c>
      <c r="C21" s="149">
        <f>C22+C23+C24+C25+C26</f>
        <v>0</v>
      </c>
      <c r="D21" s="149">
        <f t="shared" ref="D21:F21" si="12">D22+D23+D24+D25+D26</f>
        <v>0</v>
      </c>
      <c r="E21" s="149">
        <f t="shared" si="12"/>
        <v>0</v>
      </c>
      <c r="F21" s="149">
        <f t="shared" si="12"/>
        <v>0</v>
      </c>
      <c r="G21" s="150">
        <f t="shared" ref="G21:G30" si="13">F21-E21</f>
        <v>0</v>
      </c>
      <c r="H21" s="42" t="str">
        <f t="shared" si="1"/>
        <v>-</v>
      </c>
      <c r="I21" s="403"/>
      <c r="J21" s="149">
        <f t="shared" ref="J21:K21" si="14">J22+J23+J24+J25+J26</f>
        <v>0</v>
      </c>
      <c r="K21" s="149">
        <f t="shared" si="14"/>
        <v>0</v>
      </c>
      <c r="L21" s="150">
        <f t="shared" ref="L21:L34" si="15">K21-J21</f>
        <v>0</v>
      </c>
      <c r="M21" s="42" t="str">
        <f t="shared" si="3"/>
        <v>-</v>
      </c>
      <c r="N21" s="403"/>
      <c r="O21" s="149">
        <f t="shared" ref="O21:P21" si="16">O22+O23+O24+O25+O26</f>
        <v>0</v>
      </c>
      <c r="P21" s="149">
        <f t="shared" si="16"/>
        <v>0</v>
      </c>
      <c r="Q21" s="150">
        <f t="shared" ref="Q21:Q34" si="17">P21-O21</f>
        <v>0</v>
      </c>
      <c r="R21" s="42" t="str">
        <f t="shared" si="5"/>
        <v>-</v>
      </c>
      <c r="S21" s="403"/>
      <c r="T21" s="149">
        <f t="shared" ref="T21:U21" si="18">T22+T23+T24+T25+T26</f>
        <v>0</v>
      </c>
      <c r="U21" s="149">
        <f t="shared" si="18"/>
        <v>0</v>
      </c>
      <c r="V21" s="150">
        <f t="shared" ref="V21:V34" si="19">U21-T21</f>
        <v>0</v>
      </c>
      <c r="W21" s="42" t="str">
        <f t="shared" si="7"/>
        <v>-</v>
      </c>
      <c r="X21" s="403"/>
    </row>
    <row r="22" spans="1:24" ht="31.5" customHeight="1" x14ac:dyDescent="0.2">
      <c r="A22" s="55">
        <v>14100</v>
      </c>
      <c r="B22" s="109" t="s">
        <v>261</v>
      </c>
      <c r="C22" s="21"/>
      <c r="D22" s="21"/>
      <c r="E22" s="21"/>
      <c r="F22" s="21"/>
      <c r="G22" s="110">
        <f t="shared" si="13"/>
        <v>0</v>
      </c>
      <c r="H22" s="36" t="str">
        <f t="shared" si="1"/>
        <v>-</v>
      </c>
      <c r="I22" s="111"/>
      <c r="J22" s="21"/>
      <c r="K22" s="21"/>
      <c r="L22" s="110">
        <f t="shared" si="15"/>
        <v>0</v>
      </c>
      <c r="M22" s="36" t="str">
        <f t="shared" si="3"/>
        <v>-</v>
      </c>
      <c r="N22" s="111"/>
      <c r="O22" s="21"/>
      <c r="P22" s="21"/>
      <c r="Q22" s="110">
        <f t="shared" si="17"/>
        <v>0</v>
      </c>
      <c r="R22" s="36" t="str">
        <f t="shared" si="5"/>
        <v>-</v>
      </c>
      <c r="S22" s="111"/>
      <c r="T22" s="21"/>
      <c r="U22" s="21"/>
      <c r="V22" s="110">
        <f t="shared" si="19"/>
        <v>0</v>
      </c>
      <c r="W22" s="36" t="str">
        <f t="shared" si="7"/>
        <v>-</v>
      </c>
      <c r="X22" s="111"/>
    </row>
    <row r="23" spans="1:24" ht="30.95" customHeight="1" x14ac:dyDescent="0.2">
      <c r="A23" s="55">
        <v>14200</v>
      </c>
      <c r="B23" s="109" t="s">
        <v>160</v>
      </c>
      <c r="C23" s="21"/>
      <c r="D23" s="21"/>
      <c r="E23" s="21"/>
      <c r="F23" s="21"/>
      <c r="G23" s="110">
        <f t="shared" si="13"/>
        <v>0</v>
      </c>
      <c r="H23" s="36" t="str">
        <f t="shared" si="1"/>
        <v>-</v>
      </c>
      <c r="I23" s="111"/>
      <c r="J23" s="21"/>
      <c r="K23" s="21"/>
      <c r="L23" s="110">
        <f t="shared" si="15"/>
        <v>0</v>
      </c>
      <c r="M23" s="36" t="str">
        <f t="shared" si="3"/>
        <v>-</v>
      </c>
      <c r="N23" s="111"/>
      <c r="O23" s="21"/>
      <c r="P23" s="21"/>
      <c r="Q23" s="110">
        <f t="shared" si="17"/>
        <v>0</v>
      </c>
      <c r="R23" s="36" t="str">
        <f t="shared" si="5"/>
        <v>-</v>
      </c>
      <c r="S23" s="111"/>
      <c r="T23" s="21"/>
      <c r="U23" s="21"/>
      <c r="V23" s="110">
        <f t="shared" si="19"/>
        <v>0</v>
      </c>
      <c r="W23" s="36" t="str">
        <f t="shared" si="7"/>
        <v>-</v>
      </c>
      <c r="X23" s="111"/>
    </row>
    <row r="24" spans="1:24" ht="15.6" customHeight="1" x14ac:dyDescent="0.2">
      <c r="A24" s="55">
        <v>14300</v>
      </c>
      <c r="B24" s="17" t="s">
        <v>162</v>
      </c>
      <c r="C24" s="21"/>
      <c r="D24" s="21"/>
      <c r="E24" s="21"/>
      <c r="F24" s="21"/>
      <c r="G24" s="110">
        <f t="shared" si="13"/>
        <v>0</v>
      </c>
      <c r="H24" s="36" t="str">
        <f t="shared" si="1"/>
        <v>-</v>
      </c>
      <c r="I24" s="111"/>
      <c r="J24" s="21"/>
      <c r="K24" s="21"/>
      <c r="L24" s="110">
        <f t="shared" si="15"/>
        <v>0</v>
      </c>
      <c r="M24" s="36" t="str">
        <f t="shared" si="3"/>
        <v>-</v>
      </c>
      <c r="N24" s="111"/>
      <c r="O24" s="21"/>
      <c r="P24" s="21"/>
      <c r="Q24" s="110">
        <f t="shared" si="17"/>
        <v>0</v>
      </c>
      <c r="R24" s="36" t="str">
        <f t="shared" si="5"/>
        <v>-</v>
      </c>
      <c r="S24" s="111"/>
      <c r="T24" s="21"/>
      <c r="U24" s="21"/>
      <c r="V24" s="110">
        <f t="shared" si="19"/>
        <v>0</v>
      </c>
      <c r="W24" s="36" t="str">
        <f t="shared" si="7"/>
        <v>-</v>
      </c>
      <c r="X24" s="111"/>
    </row>
    <row r="25" spans="1:24" ht="15.6" customHeight="1" x14ac:dyDescent="0.2">
      <c r="A25" s="55">
        <v>14400</v>
      </c>
      <c r="B25" s="17" t="s">
        <v>266</v>
      </c>
      <c r="C25" s="21"/>
      <c r="D25" s="21"/>
      <c r="E25" s="21"/>
      <c r="F25" s="21"/>
      <c r="G25" s="110">
        <f t="shared" si="13"/>
        <v>0</v>
      </c>
      <c r="H25" s="36" t="str">
        <f t="shared" si="1"/>
        <v>-</v>
      </c>
      <c r="I25" s="111"/>
      <c r="J25" s="21"/>
      <c r="K25" s="21"/>
      <c r="L25" s="110">
        <f t="shared" si="15"/>
        <v>0</v>
      </c>
      <c r="M25" s="36" t="str">
        <f t="shared" si="3"/>
        <v>-</v>
      </c>
      <c r="N25" s="111"/>
      <c r="O25" s="21"/>
      <c r="P25" s="21"/>
      <c r="Q25" s="110">
        <f t="shared" si="17"/>
        <v>0</v>
      </c>
      <c r="R25" s="36" t="str">
        <f t="shared" si="5"/>
        <v>-</v>
      </c>
      <c r="S25" s="111"/>
      <c r="T25" s="21"/>
      <c r="U25" s="21"/>
      <c r="V25" s="110">
        <f t="shared" si="19"/>
        <v>0</v>
      </c>
      <c r="W25" s="36" t="str">
        <f t="shared" si="7"/>
        <v>-</v>
      </c>
      <c r="X25" s="111"/>
    </row>
    <row r="26" spans="1:24" ht="15.6" customHeight="1" x14ac:dyDescent="0.2">
      <c r="A26" s="55">
        <v>14500</v>
      </c>
      <c r="B26" s="17" t="s">
        <v>267</v>
      </c>
      <c r="C26" s="21"/>
      <c r="D26" s="21"/>
      <c r="E26" s="21"/>
      <c r="F26" s="21"/>
      <c r="G26" s="110">
        <f t="shared" si="13"/>
        <v>0</v>
      </c>
      <c r="H26" s="36" t="str">
        <f t="shared" si="1"/>
        <v>-</v>
      </c>
      <c r="I26" s="111"/>
      <c r="J26" s="21"/>
      <c r="K26" s="21"/>
      <c r="L26" s="110">
        <f t="shared" si="15"/>
        <v>0</v>
      </c>
      <c r="M26" s="36" t="str">
        <f t="shared" si="3"/>
        <v>-</v>
      </c>
      <c r="N26" s="111"/>
      <c r="O26" s="21"/>
      <c r="P26" s="21"/>
      <c r="Q26" s="110">
        <f t="shared" si="17"/>
        <v>0</v>
      </c>
      <c r="R26" s="36" t="str">
        <f t="shared" si="5"/>
        <v>-</v>
      </c>
      <c r="S26" s="111"/>
      <c r="T26" s="21"/>
      <c r="U26" s="21"/>
      <c r="V26" s="110">
        <f t="shared" si="19"/>
        <v>0</v>
      </c>
      <c r="W26" s="36" t="str">
        <f t="shared" si="7"/>
        <v>-</v>
      </c>
      <c r="X26" s="111"/>
    </row>
    <row r="27" spans="1:24" ht="15.6" customHeight="1" x14ac:dyDescent="0.2">
      <c r="A27" s="147">
        <v>15000</v>
      </c>
      <c r="B27" s="151" t="s">
        <v>268</v>
      </c>
      <c r="C27" s="149">
        <f>C28+C29+C33</f>
        <v>244581</v>
      </c>
      <c r="D27" s="149">
        <f ca="1">D28+D29+D33</f>
        <v>779629</v>
      </c>
      <c r="E27" s="149">
        <f>E28+E29+E33</f>
        <v>12566</v>
      </c>
      <c r="F27" s="149">
        <f>F28+F29+F33</f>
        <v>14029</v>
      </c>
      <c r="G27" s="150">
        <f t="shared" si="13"/>
        <v>1463</v>
      </c>
      <c r="H27" s="42">
        <f t="shared" si="1"/>
        <v>0.11642527455037402</v>
      </c>
      <c r="I27" s="403"/>
      <c r="J27" s="149">
        <f ca="1">J28+J29+J33</f>
        <v>516053</v>
      </c>
      <c r="K27" s="149">
        <f>K28+K29+K33</f>
        <v>0</v>
      </c>
      <c r="L27" s="150">
        <f t="shared" ca="1" si="15"/>
        <v>-516053</v>
      </c>
      <c r="M27" s="42">
        <f t="shared" ca="1" si="3"/>
        <v>-1</v>
      </c>
      <c r="N27" s="403"/>
      <c r="O27" s="149">
        <f ca="1">O28+O29+O33</f>
        <v>728629</v>
      </c>
      <c r="P27" s="149">
        <f>P28+P29+P33</f>
        <v>0</v>
      </c>
      <c r="Q27" s="150">
        <f t="shared" ca="1" si="17"/>
        <v>-728629</v>
      </c>
      <c r="R27" s="42">
        <f t="shared" ca="1" si="5"/>
        <v>-1</v>
      </c>
      <c r="S27" s="403"/>
      <c r="T27" s="149">
        <f ca="1">T28+T29+T33</f>
        <v>779629</v>
      </c>
      <c r="U27" s="149">
        <f>U28+U29+U33</f>
        <v>0</v>
      </c>
      <c r="V27" s="150">
        <f t="shared" ca="1" si="19"/>
        <v>-779629</v>
      </c>
      <c r="W27" s="42">
        <f t="shared" ca="1" si="7"/>
        <v>-1</v>
      </c>
      <c r="X27" s="403"/>
    </row>
    <row r="28" spans="1:24" ht="31.5" customHeight="1" x14ac:dyDescent="0.2">
      <c r="A28" s="55">
        <v>15100</v>
      </c>
      <c r="B28" s="109" t="s">
        <v>260</v>
      </c>
      <c r="C28" s="21"/>
      <c r="D28" s="21"/>
      <c r="E28" s="21"/>
      <c r="F28" s="21"/>
      <c r="G28" s="110">
        <f t="shared" si="13"/>
        <v>0</v>
      </c>
      <c r="H28" s="36" t="str">
        <f t="shared" si="1"/>
        <v>-</v>
      </c>
      <c r="I28" s="112"/>
      <c r="J28" s="21"/>
      <c r="K28" s="21"/>
      <c r="L28" s="110">
        <f t="shared" si="15"/>
        <v>0</v>
      </c>
      <c r="M28" s="36" t="str">
        <f t="shared" si="3"/>
        <v>-</v>
      </c>
      <c r="N28" s="112"/>
      <c r="O28" s="21"/>
      <c r="P28" s="21"/>
      <c r="Q28" s="110">
        <f t="shared" si="17"/>
        <v>0</v>
      </c>
      <c r="R28" s="36" t="str">
        <f t="shared" si="5"/>
        <v>-</v>
      </c>
      <c r="S28" s="112"/>
      <c r="T28" s="21"/>
      <c r="U28" s="21"/>
      <c r="V28" s="110">
        <f t="shared" si="19"/>
        <v>0</v>
      </c>
      <c r="W28" s="36" t="str">
        <f t="shared" si="7"/>
        <v>-</v>
      </c>
      <c r="X28" s="112"/>
    </row>
    <row r="29" spans="1:24" ht="15.6" customHeight="1" x14ac:dyDescent="0.2">
      <c r="A29" s="55">
        <v>15200</v>
      </c>
      <c r="B29" s="109" t="s">
        <v>485</v>
      </c>
      <c r="C29" s="113">
        <f>C30+C31+C32</f>
        <v>244581</v>
      </c>
      <c r="D29" s="113">
        <f ca="1">D30+D31+D32</f>
        <v>779629</v>
      </c>
      <c r="E29" s="113">
        <v>12566</v>
      </c>
      <c r="F29" s="113">
        <f>F30+F31+F32</f>
        <v>14029</v>
      </c>
      <c r="G29" s="114">
        <f t="shared" si="13"/>
        <v>1463</v>
      </c>
      <c r="H29" s="115">
        <f t="shared" si="1"/>
        <v>0.11642527455037402</v>
      </c>
      <c r="I29" s="108"/>
      <c r="J29" s="113">
        <f ca="1">J30+J31+J32</f>
        <v>516053</v>
      </c>
      <c r="K29" s="113">
        <f>K30+K31+K32</f>
        <v>0</v>
      </c>
      <c r="L29" s="114">
        <f t="shared" ca="1" si="15"/>
        <v>-516053</v>
      </c>
      <c r="M29" s="115">
        <f t="shared" ca="1" si="3"/>
        <v>-1</v>
      </c>
      <c r="N29" s="108"/>
      <c r="O29" s="113">
        <f ca="1">O30+O31+O32</f>
        <v>728629</v>
      </c>
      <c r="P29" s="113">
        <f>P30+P31+P32</f>
        <v>0</v>
      </c>
      <c r="Q29" s="114">
        <f t="shared" ca="1" si="17"/>
        <v>-728629</v>
      </c>
      <c r="R29" s="115">
        <f t="shared" ca="1" si="5"/>
        <v>-1</v>
      </c>
      <c r="S29" s="108"/>
      <c r="T29" s="113">
        <f ca="1">T30+T31+T32</f>
        <v>779629</v>
      </c>
      <c r="U29" s="113">
        <f>U30+U31+U32</f>
        <v>0</v>
      </c>
      <c r="V29" s="114">
        <f t="shared" ca="1" si="19"/>
        <v>-779629</v>
      </c>
      <c r="W29" s="115">
        <f t="shared" ca="1" si="7"/>
        <v>-1</v>
      </c>
      <c r="X29" s="108"/>
    </row>
    <row r="30" spans="1:24" ht="15.6" customHeight="1" x14ac:dyDescent="0.2">
      <c r="A30" s="116">
        <v>15210</v>
      </c>
      <c r="B30" s="117" t="s">
        <v>264</v>
      </c>
      <c r="C30" s="118">
        <v>489</v>
      </c>
      <c r="D30" s="118">
        <f>'Ieguldījumu tāme'!D6</f>
        <v>581</v>
      </c>
      <c r="E30" s="118">
        <f>'Ieguldījumu tāme'!E6</f>
        <v>581</v>
      </c>
      <c r="F30" s="118">
        <v>480</v>
      </c>
      <c r="G30" s="119">
        <f t="shared" si="13"/>
        <v>-101</v>
      </c>
      <c r="H30" s="100">
        <f t="shared" si="1"/>
        <v>-0.17383820998278829</v>
      </c>
      <c r="I30" s="120"/>
      <c r="J30" s="118">
        <f>'Ieguldījumu tāme'!J6</f>
        <v>581</v>
      </c>
      <c r="K30" s="118"/>
      <c r="L30" s="119">
        <f t="shared" si="15"/>
        <v>-581</v>
      </c>
      <c r="M30" s="100">
        <f t="shared" si="3"/>
        <v>-1</v>
      </c>
      <c r="N30" s="120"/>
      <c r="O30" s="118">
        <f>'Ieguldījumu tāme'!O6</f>
        <v>581</v>
      </c>
      <c r="P30" s="118"/>
      <c r="Q30" s="119">
        <f t="shared" si="17"/>
        <v>-581</v>
      </c>
      <c r="R30" s="100">
        <f t="shared" si="5"/>
        <v>-1</v>
      </c>
      <c r="S30" s="120"/>
      <c r="T30" s="118">
        <f>D30</f>
        <v>581</v>
      </c>
      <c r="U30" s="118"/>
      <c r="V30" s="119">
        <f t="shared" si="19"/>
        <v>-581</v>
      </c>
      <c r="W30" s="100">
        <f t="shared" si="7"/>
        <v>-1</v>
      </c>
      <c r="X30" s="120"/>
    </row>
    <row r="31" spans="1:24" ht="15.6" customHeight="1" x14ac:dyDescent="0.2">
      <c r="A31" s="116">
        <v>15220</v>
      </c>
      <c r="B31" s="117" t="s">
        <v>262</v>
      </c>
      <c r="C31" s="118">
        <v>150823</v>
      </c>
      <c r="D31" s="118">
        <f>'Ieguldījumu tāme'!D16</f>
        <v>127505</v>
      </c>
      <c r="E31" s="118">
        <f>'Ieguldījumu tāme'!E16</f>
        <v>11985</v>
      </c>
      <c r="F31" s="118">
        <v>11625</v>
      </c>
      <c r="G31" s="119">
        <f t="shared" ref="G31:G34" si="20">F31-E31</f>
        <v>-360</v>
      </c>
      <c r="H31" s="100">
        <f t="shared" ref="H31:H46" si="21">IFERROR(G31/ABS(E31), "-")</f>
        <v>-3.0037546933667083E-2</v>
      </c>
      <c r="I31" s="120"/>
      <c r="J31" s="118">
        <f>'Ieguldījumu tāme'!J16</f>
        <v>63505</v>
      </c>
      <c r="K31" s="118"/>
      <c r="L31" s="119">
        <f t="shared" si="15"/>
        <v>-63505</v>
      </c>
      <c r="M31" s="100">
        <f t="shared" si="3"/>
        <v>-1</v>
      </c>
      <c r="N31" s="120"/>
      <c r="O31" s="118">
        <f>'Ieguldījumu tāme'!O16</f>
        <v>76505</v>
      </c>
      <c r="P31" s="118"/>
      <c r="Q31" s="119">
        <f t="shared" si="17"/>
        <v>-76505</v>
      </c>
      <c r="R31" s="100">
        <f t="shared" si="5"/>
        <v>-1</v>
      </c>
      <c r="S31" s="120"/>
      <c r="T31" s="118">
        <f>D31</f>
        <v>127505</v>
      </c>
      <c r="U31" s="118"/>
      <c r="V31" s="119">
        <f t="shared" si="19"/>
        <v>-127505</v>
      </c>
      <c r="W31" s="100">
        <f t="shared" si="7"/>
        <v>-1</v>
      </c>
      <c r="X31" s="120"/>
    </row>
    <row r="32" spans="1:24" ht="15.6" customHeight="1" x14ac:dyDescent="0.2">
      <c r="A32" s="116">
        <v>15230</v>
      </c>
      <c r="B32" s="117" t="s">
        <v>263</v>
      </c>
      <c r="C32" s="118">
        <v>93269</v>
      </c>
      <c r="D32" s="118">
        <f ca="1">'Ieguldījumu tāme'!D8</f>
        <v>651543</v>
      </c>
      <c r="E32" s="118">
        <v>0</v>
      </c>
      <c r="F32" s="118">
        <v>1924</v>
      </c>
      <c r="G32" s="119">
        <f t="shared" si="20"/>
        <v>1924</v>
      </c>
      <c r="H32" s="100" t="str">
        <f t="shared" si="21"/>
        <v>-</v>
      </c>
      <c r="I32" s="121"/>
      <c r="J32" s="118">
        <f ca="1">'Ieguldījumu tāme'!J8</f>
        <v>451967</v>
      </c>
      <c r="K32" s="118"/>
      <c r="L32" s="119">
        <f t="shared" ca="1" si="15"/>
        <v>-451967</v>
      </c>
      <c r="M32" s="100">
        <f t="shared" ca="1" si="3"/>
        <v>-1</v>
      </c>
      <c r="N32" s="121"/>
      <c r="O32" s="118">
        <f ca="1">'Ieguldījumu tāme'!O8</f>
        <v>651543</v>
      </c>
      <c r="P32" s="118"/>
      <c r="Q32" s="119">
        <f t="shared" ca="1" si="17"/>
        <v>-651543</v>
      </c>
      <c r="R32" s="100">
        <f t="shared" ca="1" si="5"/>
        <v>-1</v>
      </c>
      <c r="S32" s="121"/>
      <c r="T32" s="118">
        <f ca="1">D32</f>
        <v>651543</v>
      </c>
      <c r="U32" s="118"/>
      <c r="V32" s="119">
        <f t="shared" ca="1" si="19"/>
        <v>-651543</v>
      </c>
      <c r="W32" s="100">
        <f t="shared" ca="1" si="7"/>
        <v>-1</v>
      </c>
      <c r="X32" s="121"/>
    </row>
    <row r="33" spans="1:24" ht="15.6" customHeight="1" x14ac:dyDescent="0.2">
      <c r="A33" s="55">
        <v>15300</v>
      </c>
      <c r="B33" s="109" t="s">
        <v>161</v>
      </c>
      <c r="C33" s="21">
        <v>0</v>
      </c>
      <c r="D33" s="21">
        <v>0</v>
      </c>
      <c r="E33" s="21">
        <v>0</v>
      </c>
      <c r="F33" s="21">
        <v>0</v>
      </c>
      <c r="G33" s="110">
        <f t="shared" si="20"/>
        <v>0</v>
      </c>
      <c r="H33" s="36" t="str">
        <f t="shared" si="21"/>
        <v>-</v>
      </c>
      <c r="I33" s="121"/>
      <c r="J33" s="21">
        <v>0</v>
      </c>
      <c r="K33" s="21">
        <v>0</v>
      </c>
      <c r="L33" s="110">
        <f t="shared" si="15"/>
        <v>0</v>
      </c>
      <c r="M33" s="36" t="str">
        <f t="shared" si="3"/>
        <v>-</v>
      </c>
      <c r="N33" s="121"/>
      <c r="O33" s="21">
        <v>0</v>
      </c>
      <c r="P33" s="21">
        <v>0</v>
      </c>
      <c r="Q33" s="110">
        <f t="shared" si="17"/>
        <v>0</v>
      </c>
      <c r="R33" s="36" t="str">
        <f t="shared" si="5"/>
        <v>-</v>
      </c>
      <c r="S33" s="121"/>
      <c r="T33" s="21">
        <v>0</v>
      </c>
      <c r="U33" s="21">
        <v>0</v>
      </c>
      <c r="V33" s="110">
        <f t="shared" si="19"/>
        <v>0</v>
      </c>
      <c r="W33" s="36" t="str">
        <f t="shared" si="7"/>
        <v>-</v>
      </c>
      <c r="X33" s="121"/>
    </row>
    <row r="34" spans="1:24" ht="30.6" customHeight="1" x14ac:dyDescent="0.2">
      <c r="A34" s="152">
        <v>16000</v>
      </c>
      <c r="B34" s="153" t="s">
        <v>274</v>
      </c>
      <c r="C34" s="154">
        <f>C21-C27</f>
        <v>-244581</v>
      </c>
      <c r="D34" s="154">
        <f ca="1">D21-D27</f>
        <v>-779629</v>
      </c>
      <c r="E34" s="154">
        <f>E21-E27</f>
        <v>-12566</v>
      </c>
      <c r="F34" s="154">
        <f>F21-F27</f>
        <v>-14029</v>
      </c>
      <c r="G34" s="155">
        <f t="shared" si="20"/>
        <v>-1463</v>
      </c>
      <c r="H34" s="145">
        <f t="shared" si="21"/>
        <v>-0.11642527455037402</v>
      </c>
      <c r="I34" s="402"/>
      <c r="J34" s="141">
        <f ca="1">J21-J27</f>
        <v>-516053</v>
      </c>
      <c r="K34" s="141">
        <f>K21-K27</f>
        <v>0</v>
      </c>
      <c r="L34" s="144">
        <f t="shared" ca="1" si="15"/>
        <v>516053</v>
      </c>
      <c r="M34" s="145">
        <f t="shared" ca="1" si="3"/>
        <v>1</v>
      </c>
      <c r="N34" s="402"/>
      <c r="O34" s="141">
        <f ca="1">O21-O27</f>
        <v>-728629</v>
      </c>
      <c r="P34" s="141">
        <f>P21-P27</f>
        <v>0</v>
      </c>
      <c r="Q34" s="144">
        <f t="shared" ca="1" si="17"/>
        <v>728629</v>
      </c>
      <c r="R34" s="145">
        <f t="shared" ca="1" si="5"/>
        <v>1</v>
      </c>
      <c r="S34" s="402"/>
      <c r="T34" s="141">
        <f ca="1">T21-T27</f>
        <v>-779629</v>
      </c>
      <c r="U34" s="141">
        <f>U21-U27</f>
        <v>0</v>
      </c>
      <c r="V34" s="144">
        <f t="shared" ca="1" si="19"/>
        <v>779629</v>
      </c>
      <c r="W34" s="145">
        <f t="shared" ca="1" si="7"/>
        <v>1</v>
      </c>
      <c r="X34" s="402"/>
    </row>
    <row r="35" spans="1:24" ht="15.6" customHeight="1" x14ac:dyDescent="0.2">
      <c r="A35" s="397" t="s">
        <v>259</v>
      </c>
      <c r="B35" s="552" t="s">
        <v>164</v>
      </c>
      <c r="C35" s="552"/>
      <c r="D35" s="552"/>
      <c r="E35" s="552"/>
      <c r="F35" s="552"/>
      <c r="G35" s="552"/>
      <c r="H35" s="401" t="str">
        <f t="shared" si="21"/>
        <v>-</v>
      </c>
      <c r="I35" s="399"/>
      <c r="J35" s="400"/>
      <c r="K35" s="400"/>
      <c r="L35" s="400"/>
      <c r="M35" s="401" t="str">
        <f t="shared" si="3"/>
        <v>-</v>
      </c>
      <c r="N35" s="399"/>
      <c r="O35" s="400"/>
      <c r="P35" s="400"/>
      <c r="Q35" s="400"/>
      <c r="R35" s="401" t="str">
        <f t="shared" si="5"/>
        <v>-</v>
      </c>
      <c r="S35" s="399"/>
      <c r="T35" s="400"/>
      <c r="U35" s="400"/>
      <c r="V35" s="400"/>
      <c r="W35" s="401" t="str">
        <f t="shared" si="7"/>
        <v>-</v>
      </c>
      <c r="X35" s="399"/>
    </row>
    <row r="36" spans="1:24" ht="15.6" customHeight="1" x14ac:dyDescent="0.2">
      <c r="A36" s="156">
        <v>17000</v>
      </c>
      <c r="B36" s="157" t="s">
        <v>270</v>
      </c>
      <c r="C36" s="158">
        <f>C37+C38+C39</f>
        <v>2145</v>
      </c>
      <c r="D36" s="158">
        <f t="shared" ref="D36:F36" si="22">D37+D38+D39</f>
        <v>700</v>
      </c>
      <c r="E36" s="158">
        <f t="shared" si="22"/>
        <v>0</v>
      </c>
      <c r="F36" s="158">
        <f t="shared" si="22"/>
        <v>130</v>
      </c>
      <c r="G36" s="159">
        <f t="shared" ref="G36:G39" si="23">F36-E36</f>
        <v>130</v>
      </c>
      <c r="H36" s="145" t="str">
        <f t="shared" si="21"/>
        <v>-</v>
      </c>
      <c r="I36" s="402"/>
      <c r="J36" s="141">
        <f t="shared" ref="J36:K36" si="24">J37+J38+J39</f>
        <v>200</v>
      </c>
      <c r="K36" s="141">
        <f t="shared" si="24"/>
        <v>0</v>
      </c>
      <c r="L36" s="144">
        <f t="shared" ref="L36:L54" si="25">K36-J36</f>
        <v>-200</v>
      </c>
      <c r="M36" s="145">
        <f t="shared" si="3"/>
        <v>-1</v>
      </c>
      <c r="N36" s="402"/>
      <c r="O36" s="141">
        <f t="shared" ref="O36:P36" si="26">O37+O38+O39</f>
        <v>500</v>
      </c>
      <c r="P36" s="141">
        <f t="shared" si="26"/>
        <v>0</v>
      </c>
      <c r="Q36" s="144">
        <f t="shared" ref="Q36:Q54" si="27">P36-O36</f>
        <v>-500</v>
      </c>
      <c r="R36" s="145">
        <f t="shared" si="5"/>
        <v>-1</v>
      </c>
      <c r="S36" s="402"/>
      <c r="T36" s="141">
        <f t="shared" ref="T36:U36" si="28">T37+T38+T39</f>
        <v>700</v>
      </c>
      <c r="U36" s="141">
        <f t="shared" si="28"/>
        <v>0</v>
      </c>
      <c r="V36" s="144">
        <f t="shared" ref="V36:V54" si="29">U36-T36</f>
        <v>-700</v>
      </c>
      <c r="W36" s="145">
        <f t="shared" si="7"/>
        <v>-1</v>
      </c>
      <c r="X36" s="402"/>
    </row>
    <row r="37" spans="1:24" ht="30.6" customHeight="1" x14ac:dyDescent="0.2">
      <c r="A37" s="122">
        <v>17100</v>
      </c>
      <c r="B37" s="123" t="s">
        <v>166</v>
      </c>
      <c r="C37" s="124"/>
      <c r="D37" s="124"/>
      <c r="E37" s="124"/>
      <c r="F37" s="124"/>
      <c r="G37" s="125">
        <f t="shared" si="23"/>
        <v>0</v>
      </c>
      <c r="H37" s="36" t="str">
        <f t="shared" si="21"/>
        <v>-</v>
      </c>
      <c r="I37" s="126"/>
      <c r="J37" s="124"/>
      <c r="K37" s="124"/>
      <c r="L37" s="125">
        <f t="shared" si="25"/>
        <v>0</v>
      </c>
      <c r="M37" s="36" t="str">
        <f t="shared" si="3"/>
        <v>-</v>
      </c>
      <c r="N37" s="126"/>
      <c r="O37" s="124"/>
      <c r="P37" s="124"/>
      <c r="Q37" s="125">
        <f t="shared" si="27"/>
        <v>0</v>
      </c>
      <c r="R37" s="36" t="str">
        <f t="shared" si="5"/>
        <v>-</v>
      </c>
      <c r="S37" s="126"/>
      <c r="T37" s="124"/>
      <c r="U37" s="124"/>
      <c r="V37" s="125">
        <f t="shared" si="29"/>
        <v>0</v>
      </c>
      <c r="W37" s="36" t="str">
        <f t="shared" si="7"/>
        <v>-</v>
      </c>
      <c r="X37" s="126"/>
    </row>
    <row r="38" spans="1:24" ht="15.6" customHeight="1" x14ac:dyDescent="0.2">
      <c r="A38" s="122">
        <v>17200</v>
      </c>
      <c r="B38" s="123" t="s">
        <v>269</v>
      </c>
      <c r="C38" s="124"/>
      <c r="D38" s="124"/>
      <c r="E38" s="124"/>
      <c r="F38" s="124"/>
      <c r="G38" s="125">
        <f t="shared" si="23"/>
        <v>0</v>
      </c>
      <c r="H38" s="36" t="str">
        <f t="shared" si="21"/>
        <v>-</v>
      </c>
      <c r="I38" s="126"/>
      <c r="J38" s="124"/>
      <c r="K38" s="124"/>
      <c r="L38" s="125">
        <f t="shared" si="25"/>
        <v>0</v>
      </c>
      <c r="M38" s="36" t="str">
        <f t="shared" si="3"/>
        <v>-</v>
      </c>
      <c r="N38" s="126"/>
      <c r="O38" s="124"/>
      <c r="P38" s="124"/>
      <c r="Q38" s="125">
        <f t="shared" si="27"/>
        <v>0</v>
      </c>
      <c r="R38" s="36" t="str">
        <f t="shared" si="5"/>
        <v>-</v>
      </c>
      <c r="S38" s="126"/>
      <c r="T38" s="124"/>
      <c r="U38" s="124"/>
      <c r="V38" s="125">
        <f t="shared" si="29"/>
        <v>0</v>
      </c>
      <c r="W38" s="36" t="str">
        <f t="shared" si="7"/>
        <v>-</v>
      </c>
      <c r="X38" s="126"/>
    </row>
    <row r="39" spans="1:24" ht="15.6" customHeight="1" x14ac:dyDescent="0.2">
      <c r="A39" s="88">
        <v>17300</v>
      </c>
      <c r="B39" s="89" t="s">
        <v>165</v>
      </c>
      <c r="C39" s="90">
        <v>2145</v>
      </c>
      <c r="D39" s="90">
        <v>700</v>
      </c>
      <c r="E39" s="90"/>
      <c r="F39" s="90">
        <v>130</v>
      </c>
      <c r="G39" s="91">
        <f t="shared" si="23"/>
        <v>130</v>
      </c>
      <c r="H39" s="92" t="str">
        <f t="shared" si="21"/>
        <v>-</v>
      </c>
      <c r="I39" s="162"/>
      <c r="J39" s="90">
        <v>200</v>
      </c>
      <c r="K39" s="90"/>
      <c r="L39" s="91">
        <f t="shared" si="25"/>
        <v>-200</v>
      </c>
      <c r="M39" s="92">
        <f t="shared" si="3"/>
        <v>-1</v>
      </c>
      <c r="N39" s="162"/>
      <c r="O39" s="90">
        <v>500</v>
      </c>
      <c r="P39" s="90"/>
      <c r="Q39" s="91">
        <f t="shared" si="27"/>
        <v>-500</v>
      </c>
      <c r="R39" s="92">
        <f t="shared" si="5"/>
        <v>-1</v>
      </c>
      <c r="S39" s="127"/>
      <c r="T39" s="90">
        <f>D39</f>
        <v>700</v>
      </c>
      <c r="U39" s="90"/>
      <c r="V39" s="91">
        <f t="shared" si="29"/>
        <v>-700</v>
      </c>
      <c r="W39" s="92">
        <f t="shared" si="7"/>
        <v>-1</v>
      </c>
      <c r="X39" s="127"/>
    </row>
    <row r="40" spans="1:24" ht="15.6" customHeight="1" x14ac:dyDescent="0.2">
      <c r="A40" s="160">
        <v>18000</v>
      </c>
      <c r="B40" s="151" t="s">
        <v>271</v>
      </c>
      <c r="C40" s="141">
        <f>C41+C42+C43</f>
        <v>0</v>
      </c>
      <c r="D40" s="141">
        <f t="shared" ref="D40:F40" si="30">D41+D42+D43</f>
        <v>0</v>
      </c>
      <c r="E40" s="141">
        <f t="shared" si="30"/>
        <v>0</v>
      </c>
      <c r="F40" s="141">
        <f t="shared" si="30"/>
        <v>0</v>
      </c>
      <c r="G40" s="144">
        <f t="shared" ref="G40:G54" si="31">F40-E40</f>
        <v>0</v>
      </c>
      <c r="H40" s="145" t="str">
        <f t="shared" si="21"/>
        <v>-</v>
      </c>
      <c r="I40" s="402"/>
      <c r="J40" s="141">
        <f t="shared" ref="J40:K40" si="32">J41+J42+J43</f>
        <v>0</v>
      </c>
      <c r="K40" s="141">
        <f t="shared" si="32"/>
        <v>0</v>
      </c>
      <c r="L40" s="144">
        <f t="shared" si="25"/>
        <v>0</v>
      </c>
      <c r="M40" s="145" t="str">
        <f t="shared" si="3"/>
        <v>-</v>
      </c>
      <c r="N40" s="402"/>
      <c r="O40" s="141">
        <f t="shared" ref="O40:P40" si="33">O41+O42+O43</f>
        <v>0</v>
      </c>
      <c r="P40" s="141">
        <f t="shared" si="33"/>
        <v>0</v>
      </c>
      <c r="Q40" s="144">
        <f t="shared" si="27"/>
        <v>0</v>
      </c>
      <c r="R40" s="145" t="str">
        <f t="shared" si="5"/>
        <v>-</v>
      </c>
      <c r="S40" s="402"/>
      <c r="T40" s="141">
        <f t="shared" ref="T40:U40" si="34">T41+T42+T43</f>
        <v>0</v>
      </c>
      <c r="U40" s="141">
        <f t="shared" si="34"/>
        <v>0</v>
      </c>
      <c r="V40" s="144">
        <f t="shared" si="29"/>
        <v>0</v>
      </c>
      <c r="W40" s="145" t="str">
        <f t="shared" si="7"/>
        <v>-</v>
      </c>
      <c r="X40" s="402"/>
    </row>
    <row r="41" spans="1:24" ht="15.6" customHeight="1" x14ac:dyDescent="0.2">
      <c r="A41" s="128">
        <v>18100</v>
      </c>
      <c r="B41" s="17" t="s">
        <v>272</v>
      </c>
      <c r="C41" s="124"/>
      <c r="D41" s="124"/>
      <c r="E41" s="124"/>
      <c r="F41" s="124"/>
      <c r="G41" s="125">
        <f t="shared" si="31"/>
        <v>0</v>
      </c>
      <c r="H41" s="36" t="str">
        <f t="shared" si="21"/>
        <v>-</v>
      </c>
      <c r="I41" s="129"/>
      <c r="J41" s="124"/>
      <c r="K41" s="124"/>
      <c r="L41" s="125">
        <f t="shared" si="25"/>
        <v>0</v>
      </c>
      <c r="M41" s="36" t="str">
        <f t="shared" si="3"/>
        <v>-</v>
      </c>
      <c r="N41" s="129"/>
      <c r="O41" s="124"/>
      <c r="P41" s="124"/>
      <c r="Q41" s="125">
        <f t="shared" si="27"/>
        <v>0</v>
      </c>
      <c r="R41" s="36" t="str">
        <f t="shared" si="5"/>
        <v>-</v>
      </c>
      <c r="S41" s="129"/>
      <c r="T41" s="124"/>
      <c r="U41" s="124"/>
      <c r="V41" s="125">
        <f t="shared" si="29"/>
        <v>0</v>
      </c>
      <c r="W41" s="36" t="str">
        <f t="shared" si="7"/>
        <v>-</v>
      </c>
      <c r="X41" s="129"/>
    </row>
    <row r="42" spans="1:24" ht="15.6" customHeight="1" x14ac:dyDescent="0.2">
      <c r="A42" s="128">
        <v>18200</v>
      </c>
      <c r="B42" s="17" t="s">
        <v>167</v>
      </c>
      <c r="C42" s="124"/>
      <c r="D42" s="124"/>
      <c r="E42" s="124"/>
      <c r="F42" s="124"/>
      <c r="G42" s="125">
        <f t="shared" si="31"/>
        <v>0</v>
      </c>
      <c r="H42" s="36" t="str">
        <f t="shared" si="21"/>
        <v>-</v>
      </c>
      <c r="I42" s="129"/>
      <c r="J42" s="124"/>
      <c r="K42" s="124"/>
      <c r="L42" s="125">
        <f t="shared" si="25"/>
        <v>0</v>
      </c>
      <c r="M42" s="36" t="str">
        <f t="shared" si="3"/>
        <v>-</v>
      </c>
      <c r="N42" s="129"/>
      <c r="O42" s="124"/>
      <c r="P42" s="124"/>
      <c r="Q42" s="125">
        <f t="shared" si="27"/>
        <v>0</v>
      </c>
      <c r="R42" s="36" t="str">
        <f t="shared" si="5"/>
        <v>-</v>
      </c>
      <c r="S42" s="129"/>
      <c r="T42" s="124"/>
      <c r="U42" s="124"/>
      <c r="V42" s="125">
        <f t="shared" si="29"/>
        <v>0</v>
      </c>
      <c r="W42" s="36" t="str">
        <f t="shared" si="7"/>
        <v>-</v>
      </c>
      <c r="X42" s="129"/>
    </row>
    <row r="43" spans="1:24" ht="15.6" customHeight="1" x14ac:dyDescent="0.2">
      <c r="A43" s="128">
        <v>18300</v>
      </c>
      <c r="B43" s="17" t="s">
        <v>168</v>
      </c>
      <c r="C43" s="124"/>
      <c r="D43" s="124"/>
      <c r="E43" s="124"/>
      <c r="F43" s="124"/>
      <c r="G43" s="125">
        <f t="shared" si="31"/>
        <v>0</v>
      </c>
      <c r="H43" s="36" t="str">
        <f t="shared" si="21"/>
        <v>-</v>
      </c>
      <c r="I43" s="129"/>
      <c r="J43" s="124"/>
      <c r="K43" s="124"/>
      <c r="L43" s="125">
        <f t="shared" si="25"/>
        <v>0</v>
      </c>
      <c r="M43" s="36" t="str">
        <f t="shared" si="3"/>
        <v>-</v>
      </c>
      <c r="N43" s="129"/>
      <c r="O43" s="124"/>
      <c r="P43" s="124"/>
      <c r="Q43" s="125">
        <f t="shared" si="27"/>
        <v>0</v>
      </c>
      <c r="R43" s="36" t="str">
        <f t="shared" si="5"/>
        <v>-</v>
      </c>
      <c r="S43" s="129"/>
      <c r="T43" s="124"/>
      <c r="U43" s="124"/>
      <c r="V43" s="125">
        <f t="shared" si="29"/>
        <v>0</v>
      </c>
      <c r="W43" s="36" t="str">
        <f t="shared" si="7"/>
        <v>-</v>
      </c>
      <c r="X43" s="129"/>
    </row>
    <row r="44" spans="1:24" ht="30.6" customHeight="1" x14ac:dyDescent="0.2">
      <c r="A44" s="139">
        <v>19000</v>
      </c>
      <c r="B44" s="161" t="s">
        <v>273</v>
      </c>
      <c r="C44" s="141">
        <f>C36-C40</f>
        <v>2145</v>
      </c>
      <c r="D44" s="141">
        <f>D36-D40</f>
        <v>700</v>
      </c>
      <c r="E44" s="141">
        <f>E36-E40</f>
        <v>0</v>
      </c>
      <c r="F44" s="141">
        <f>F36-F40</f>
        <v>130</v>
      </c>
      <c r="G44" s="144">
        <f t="shared" si="31"/>
        <v>130</v>
      </c>
      <c r="H44" s="145" t="str">
        <f t="shared" si="21"/>
        <v>-</v>
      </c>
      <c r="I44" s="402"/>
      <c r="J44" s="141">
        <f>J36-J40</f>
        <v>200</v>
      </c>
      <c r="K44" s="141">
        <f>K36-K40</f>
        <v>0</v>
      </c>
      <c r="L44" s="144">
        <f t="shared" si="25"/>
        <v>-200</v>
      </c>
      <c r="M44" s="145">
        <f t="shared" si="3"/>
        <v>-1</v>
      </c>
      <c r="N44" s="402"/>
      <c r="O44" s="141">
        <f>O36-O40</f>
        <v>500</v>
      </c>
      <c r="P44" s="141">
        <f>P36-P40</f>
        <v>0</v>
      </c>
      <c r="Q44" s="144">
        <f t="shared" si="27"/>
        <v>-500</v>
      </c>
      <c r="R44" s="145">
        <f t="shared" si="5"/>
        <v>-1</v>
      </c>
      <c r="S44" s="402"/>
      <c r="T44" s="141">
        <f>T36-T40</f>
        <v>700</v>
      </c>
      <c r="U44" s="141">
        <f>U36-U40</f>
        <v>0</v>
      </c>
      <c r="V44" s="144">
        <f t="shared" si="29"/>
        <v>-700</v>
      </c>
      <c r="W44" s="145">
        <f t="shared" si="7"/>
        <v>-1</v>
      </c>
      <c r="X44" s="402"/>
    </row>
    <row r="45" spans="1:24" ht="15.6" customHeight="1" x14ac:dyDescent="0.2">
      <c r="A45" s="130">
        <v>20100</v>
      </c>
      <c r="B45" s="131" t="s">
        <v>169</v>
      </c>
      <c r="C45" s="132"/>
      <c r="D45" s="133"/>
      <c r="E45" s="132"/>
      <c r="F45" s="132"/>
      <c r="G45" s="134">
        <f t="shared" si="31"/>
        <v>0</v>
      </c>
      <c r="H45" s="135" t="str">
        <f t="shared" si="21"/>
        <v>-</v>
      </c>
      <c r="I45" s="126"/>
      <c r="J45" s="132"/>
      <c r="K45" s="132"/>
      <c r="L45" s="134">
        <f t="shared" si="25"/>
        <v>0</v>
      </c>
      <c r="M45" s="135" t="str">
        <f t="shared" si="3"/>
        <v>-</v>
      </c>
      <c r="N45" s="126"/>
      <c r="O45" s="132"/>
      <c r="P45" s="132"/>
      <c r="Q45" s="134">
        <f t="shared" si="27"/>
        <v>0</v>
      </c>
      <c r="R45" s="135" t="str">
        <f t="shared" si="5"/>
        <v>-</v>
      </c>
      <c r="S45" s="126"/>
      <c r="T45" s="132"/>
      <c r="U45" s="132"/>
      <c r="V45" s="134">
        <f t="shared" si="29"/>
        <v>0</v>
      </c>
      <c r="W45" s="135" t="str">
        <f t="shared" si="7"/>
        <v>-</v>
      </c>
      <c r="X45" s="126"/>
    </row>
    <row r="46" spans="1:24" ht="31.5" customHeight="1" x14ac:dyDescent="0.2">
      <c r="A46" s="130">
        <v>20200</v>
      </c>
      <c r="B46" s="131" t="s">
        <v>170</v>
      </c>
      <c r="C46" s="132">
        <v>-66673</v>
      </c>
      <c r="D46" s="133">
        <v>-50500</v>
      </c>
      <c r="E46" s="132">
        <v>-9000</v>
      </c>
      <c r="F46" s="132">
        <v>-24316</v>
      </c>
      <c r="G46" s="134">
        <f t="shared" si="31"/>
        <v>-15316</v>
      </c>
      <c r="H46" s="135">
        <f t="shared" si="21"/>
        <v>-1.7017777777777778</v>
      </c>
      <c r="I46" s="489" t="s">
        <v>697</v>
      </c>
      <c r="J46" s="132">
        <v>-35000</v>
      </c>
      <c r="K46" s="132"/>
      <c r="L46" s="134">
        <f t="shared" si="25"/>
        <v>35000</v>
      </c>
      <c r="M46" s="135">
        <f t="shared" si="3"/>
        <v>1</v>
      </c>
      <c r="N46" s="126"/>
      <c r="O46" s="132">
        <v>-42000</v>
      </c>
      <c r="P46" s="132"/>
      <c r="Q46" s="134">
        <f t="shared" si="27"/>
        <v>42000</v>
      </c>
      <c r="R46" s="135">
        <f t="shared" si="5"/>
        <v>1</v>
      </c>
      <c r="S46" s="126"/>
      <c r="T46" s="132">
        <f>D46</f>
        <v>-50500</v>
      </c>
      <c r="U46" s="132"/>
      <c r="V46" s="134">
        <f t="shared" si="29"/>
        <v>50500</v>
      </c>
      <c r="W46" s="135">
        <f t="shared" si="7"/>
        <v>1</v>
      </c>
      <c r="X46" s="126"/>
    </row>
    <row r="47" spans="1:24" ht="15.6" customHeight="1" x14ac:dyDescent="0.2">
      <c r="A47" s="139">
        <v>21000</v>
      </c>
      <c r="B47" s="146" t="s">
        <v>171</v>
      </c>
      <c r="C47" s="142">
        <f>C3+C19+C34+C44+C45+C46</f>
        <v>2308208</v>
      </c>
      <c r="D47" s="142">
        <f ca="1">D3+D19+D34+D44+D45+D46</f>
        <v>1344854</v>
      </c>
      <c r="E47" s="142">
        <f>E3+E19+E34+E44+E45+E46</f>
        <v>1917192</v>
      </c>
      <c r="F47" s="142">
        <f>F3+F19+F34+F44+F45+F46</f>
        <v>1821615</v>
      </c>
      <c r="G47" s="143">
        <f t="shared" si="31"/>
        <v>-95577</v>
      </c>
      <c r="H47" s="42">
        <f t="shared" ref="H47:H54" si="35">IFERROR(G47/ABS(E47), "-")</f>
        <v>-4.9852596922999884E-2</v>
      </c>
      <c r="I47" s="549"/>
      <c r="J47" s="142">
        <f ca="1">J3+J19+J34+J44+J45+J46</f>
        <v>1762332</v>
      </c>
      <c r="K47" s="142">
        <f>K3+K19+K34+K44+K45+K46</f>
        <v>0</v>
      </c>
      <c r="L47" s="143">
        <f t="shared" ca="1" si="25"/>
        <v>-1762332</v>
      </c>
      <c r="M47" s="42">
        <f t="shared" ca="1" si="3"/>
        <v>-1</v>
      </c>
      <c r="N47" s="549"/>
      <c r="O47" s="142">
        <f ca="1">O3+O19+O34+O44+O45+O46</f>
        <v>1874720</v>
      </c>
      <c r="P47" s="142">
        <f>P3+P19+P34+P44+P45+P46</f>
        <v>0</v>
      </c>
      <c r="Q47" s="143">
        <f t="shared" ca="1" si="27"/>
        <v>-1874720</v>
      </c>
      <c r="R47" s="42">
        <f t="shared" ca="1" si="5"/>
        <v>-1</v>
      </c>
      <c r="S47" s="549"/>
      <c r="T47" s="142">
        <f ca="1">T3+T19+T34+T44+T45+T46</f>
        <v>1344854</v>
      </c>
      <c r="U47" s="142">
        <f>U3+U19+U34+U44+U45+U46</f>
        <v>0</v>
      </c>
      <c r="V47" s="143">
        <f t="shared" ca="1" si="29"/>
        <v>-1344854</v>
      </c>
      <c r="W47" s="42">
        <f t="shared" ca="1" si="7"/>
        <v>-1</v>
      </c>
      <c r="X47" s="549"/>
    </row>
    <row r="48" spans="1:24" ht="15.6" customHeight="1" x14ac:dyDescent="0.2">
      <c r="A48" s="136">
        <v>21100</v>
      </c>
      <c r="B48" s="137" t="s">
        <v>172</v>
      </c>
      <c r="C48" s="132"/>
      <c r="D48" s="138"/>
      <c r="E48" s="132"/>
      <c r="F48" s="132"/>
      <c r="G48" s="134">
        <f t="shared" si="31"/>
        <v>0</v>
      </c>
      <c r="H48" s="135" t="str">
        <f t="shared" si="35"/>
        <v>-</v>
      </c>
      <c r="I48" s="550"/>
      <c r="J48" s="132"/>
      <c r="K48" s="132"/>
      <c r="L48" s="134">
        <f t="shared" si="25"/>
        <v>0</v>
      </c>
      <c r="M48" s="135" t="str">
        <f t="shared" si="3"/>
        <v>-</v>
      </c>
      <c r="N48" s="550"/>
      <c r="O48" s="132"/>
      <c r="P48" s="132"/>
      <c r="Q48" s="134">
        <f t="shared" si="27"/>
        <v>0</v>
      </c>
      <c r="R48" s="135" t="str">
        <f t="shared" si="5"/>
        <v>-</v>
      </c>
      <c r="S48" s="550"/>
      <c r="T48" s="132"/>
      <c r="U48" s="132"/>
      <c r="V48" s="134">
        <f t="shared" si="29"/>
        <v>0</v>
      </c>
      <c r="W48" s="135" t="str">
        <f t="shared" si="7"/>
        <v>-</v>
      </c>
      <c r="X48" s="550"/>
    </row>
    <row r="49" spans="1:24" ht="15.6" customHeight="1" x14ac:dyDescent="0.2">
      <c r="A49" s="136">
        <v>21200</v>
      </c>
      <c r="B49" s="137" t="s">
        <v>173</v>
      </c>
      <c r="C49" s="132"/>
      <c r="D49" s="138"/>
      <c r="E49" s="132"/>
      <c r="F49" s="132"/>
      <c r="G49" s="134">
        <f t="shared" si="31"/>
        <v>0</v>
      </c>
      <c r="H49" s="135" t="str">
        <f t="shared" si="35"/>
        <v>-</v>
      </c>
      <c r="I49" s="550"/>
      <c r="J49" s="132"/>
      <c r="K49" s="132"/>
      <c r="L49" s="134">
        <f t="shared" si="25"/>
        <v>0</v>
      </c>
      <c r="M49" s="135" t="str">
        <f t="shared" si="3"/>
        <v>-</v>
      </c>
      <c r="N49" s="550"/>
      <c r="O49" s="132"/>
      <c r="P49" s="132"/>
      <c r="Q49" s="134">
        <f t="shared" si="27"/>
        <v>0</v>
      </c>
      <c r="R49" s="135" t="str">
        <f t="shared" si="5"/>
        <v>-</v>
      </c>
      <c r="S49" s="550"/>
      <c r="T49" s="132"/>
      <c r="U49" s="132"/>
      <c r="V49" s="134">
        <f t="shared" si="29"/>
        <v>0</v>
      </c>
      <c r="W49" s="135" t="str">
        <f t="shared" si="7"/>
        <v>-</v>
      </c>
      <c r="X49" s="550"/>
    </row>
    <row r="50" spans="1:24" ht="15.6" customHeight="1" x14ac:dyDescent="0.2">
      <c r="A50" s="136">
        <v>21300</v>
      </c>
      <c r="B50" s="137" t="s">
        <v>174</v>
      </c>
      <c r="C50" s="132"/>
      <c r="D50" s="138"/>
      <c r="E50" s="132"/>
      <c r="F50" s="132"/>
      <c r="G50" s="134">
        <f t="shared" si="31"/>
        <v>0</v>
      </c>
      <c r="H50" s="135" t="str">
        <f t="shared" si="35"/>
        <v>-</v>
      </c>
      <c r="I50" s="550"/>
      <c r="J50" s="132"/>
      <c r="K50" s="132"/>
      <c r="L50" s="134">
        <f t="shared" si="25"/>
        <v>0</v>
      </c>
      <c r="M50" s="135" t="str">
        <f t="shared" si="3"/>
        <v>-</v>
      </c>
      <c r="N50" s="550"/>
      <c r="O50" s="132"/>
      <c r="P50" s="132"/>
      <c r="Q50" s="134">
        <f t="shared" si="27"/>
        <v>0</v>
      </c>
      <c r="R50" s="135" t="str">
        <f t="shared" si="5"/>
        <v>-</v>
      </c>
      <c r="S50" s="550"/>
      <c r="T50" s="132"/>
      <c r="U50" s="132"/>
      <c r="V50" s="134">
        <f t="shared" si="29"/>
        <v>0</v>
      </c>
      <c r="W50" s="135" t="str">
        <f t="shared" si="7"/>
        <v>-</v>
      </c>
      <c r="X50" s="550"/>
    </row>
    <row r="51" spans="1:24" ht="15.6" customHeight="1" x14ac:dyDescent="0.2">
      <c r="A51" s="136">
        <v>21400</v>
      </c>
      <c r="B51" s="137" t="s">
        <v>175</v>
      </c>
      <c r="C51" s="132">
        <v>2201036</v>
      </c>
      <c r="D51" s="138">
        <f ca="1">D47-D53</f>
        <v>1246854</v>
      </c>
      <c r="E51" s="138">
        <f>E47-E53</f>
        <v>1819192</v>
      </c>
      <c r="F51" s="132">
        <f>F47-F53</f>
        <v>1725051</v>
      </c>
      <c r="G51" s="134">
        <f t="shared" si="31"/>
        <v>-94141</v>
      </c>
      <c r="H51" s="135">
        <f t="shared" si="35"/>
        <v>-5.1748798367626948E-2</v>
      </c>
      <c r="I51" s="550"/>
      <c r="J51" s="138">
        <f ca="1">J47-J53</f>
        <v>1664332</v>
      </c>
      <c r="K51" s="132"/>
      <c r="L51" s="134">
        <f t="shared" ca="1" si="25"/>
        <v>-1664332</v>
      </c>
      <c r="M51" s="135">
        <f t="shared" ca="1" si="3"/>
        <v>-1</v>
      </c>
      <c r="N51" s="550"/>
      <c r="O51" s="138">
        <f ca="1">O47-O53</f>
        <v>1776720</v>
      </c>
      <c r="P51" s="132"/>
      <c r="Q51" s="134">
        <f t="shared" ca="1" si="27"/>
        <v>-1776720</v>
      </c>
      <c r="R51" s="135">
        <f t="shared" ca="1" si="5"/>
        <v>-1</v>
      </c>
      <c r="S51" s="550"/>
      <c r="T51" s="138">
        <f ca="1">T47-T53</f>
        <v>1246854</v>
      </c>
      <c r="U51" s="132"/>
      <c r="V51" s="134">
        <f t="shared" ca="1" si="29"/>
        <v>-1246854</v>
      </c>
      <c r="W51" s="135">
        <f t="shared" ca="1" si="7"/>
        <v>-1</v>
      </c>
      <c r="X51" s="550"/>
    </row>
    <row r="52" spans="1:24" ht="15.6" customHeight="1" x14ac:dyDescent="0.2">
      <c r="A52" s="136">
        <v>21500</v>
      </c>
      <c r="B52" s="137" t="s">
        <v>176</v>
      </c>
      <c r="C52" s="132"/>
      <c r="D52" s="138"/>
      <c r="E52" s="132"/>
      <c r="F52" s="132"/>
      <c r="G52" s="134">
        <f t="shared" si="31"/>
        <v>0</v>
      </c>
      <c r="H52" s="135" t="str">
        <f t="shared" si="35"/>
        <v>-</v>
      </c>
      <c r="I52" s="550"/>
      <c r="J52" s="132"/>
      <c r="K52" s="132"/>
      <c r="L52" s="134">
        <f t="shared" si="25"/>
        <v>0</v>
      </c>
      <c r="M52" s="135" t="str">
        <f t="shared" si="3"/>
        <v>-</v>
      </c>
      <c r="N52" s="550"/>
      <c r="O52" s="132"/>
      <c r="P52" s="132"/>
      <c r="Q52" s="134">
        <f t="shared" si="27"/>
        <v>0</v>
      </c>
      <c r="R52" s="135" t="str">
        <f t="shared" si="5"/>
        <v>-</v>
      </c>
      <c r="S52" s="550"/>
      <c r="T52" s="132"/>
      <c r="U52" s="132"/>
      <c r="V52" s="134">
        <f t="shared" si="29"/>
        <v>0</v>
      </c>
      <c r="W52" s="135" t="str">
        <f t="shared" si="7"/>
        <v>-</v>
      </c>
      <c r="X52" s="550"/>
    </row>
    <row r="53" spans="1:24" ht="15.6" customHeight="1" x14ac:dyDescent="0.2">
      <c r="A53" s="136">
        <v>21600</v>
      </c>
      <c r="B53" s="137" t="s">
        <v>177</v>
      </c>
      <c r="C53" s="132">
        <v>107172</v>
      </c>
      <c r="D53" s="138">
        <v>98000</v>
      </c>
      <c r="E53" s="138">
        <v>98000</v>
      </c>
      <c r="F53" s="132">
        <v>96564</v>
      </c>
      <c r="G53" s="134">
        <f t="shared" si="31"/>
        <v>-1436</v>
      </c>
      <c r="H53" s="135">
        <f t="shared" si="35"/>
        <v>-1.4653061224489797E-2</v>
      </c>
      <c r="I53" s="550"/>
      <c r="J53" s="138">
        <v>98000</v>
      </c>
      <c r="K53" s="132"/>
      <c r="L53" s="134">
        <f t="shared" si="25"/>
        <v>-98000</v>
      </c>
      <c r="M53" s="135">
        <f t="shared" si="3"/>
        <v>-1</v>
      </c>
      <c r="N53" s="550"/>
      <c r="O53" s="138">
        <v>98000</v>
      </c>
      <c r="P53" s="132"/>
      <c r="Q53" s="134">
        <f t="shared" si="27"/>
        <v>-98000</v>
      </c>
      <c r="R53" s="135">
        <f t="shared" si="5"/>
        <v>-1</v>
      </c>
      <c r="S53" s="550"/>
      <c r="T53" s="138">
        <v>98000</v>
      </c>
      <c r="U53" s="132"/>
      <c r="V53" s="134">
        <f t="shared" si="29"/>
        <v>-98000</v>
      </c>
      <c r="W53" s="135">
        <f t="shared" si="7"/>
        <v>-1</v>
      </c>
      <c r="X53" s="550"/>
    </row>
    <row r="54" spans="1:24" ht="15.6" customHeight="1" x14ac:dyDescent="0.2">
      <c r="A54" s="136">
        <v>21700</v>
      </c>
      <c r="B54" s="137" t="s">
        <v>178</v>
      </c>
      <c r="C54" s="132"/>
      <c r="D54" s="138"/>
      <c r="E54" s="132"/>
      <c r="F54" s="132"/>
      <c r="G54" s="134">
        <f t="shared" si="31"/>
        <v>0</v>
      </c>
      <c r="H54" s="135" t="str">
        <f t="shared" si="35"/>
        <v>-</v>
      </c>
      <c r="I54" s="551"/>
      <c r="J54" s="132"/>
      <c r="K54" s="132"/>
      <c r="L54" s="134">
        <f t="shared" si="25"/>
        <v>0</v>
      </c>
      <c r="M54" s="135" t="str">
        <f t="shared" si="3"/>
        <v>-</v>
      </c>
      <c r="N54" s="551"/>
      <c r="O54" s="132"/>
      <c r="P54" s="132"/>
      <c r="Q54" s="134">
        <f t="shared" si="27"/>
        <v>0</v>
      </c>
      <c r="R54" s="135" t="str">
        <f t="shared" si="5"/>
        <v>-</v>
      </c>
      <c r="S54" s="551"/>
      <c r="T54" s="132"/>
      <c r="U54" s="132"/>
      <c r="V54" s="134">
        <f t="shared" si="29"/>
        <v>0</v>
      </c>
      <c r="W54" s="135" t="str">
        <f t="shared" si="7"/>
        <v>-</v>
      </c>
      <c r="X54" s="551"/>
    </row>
    <row r="55" spans="1:24" x14ac:dyDescent="0.2">
      <c r="A55" s="224"/>
      <c r="B55" s="225"/>
      <c r="C55" s="226"/>
      <c r="D55" s="227"/>
      <c r="E55" s="226"/>
      <c r="F55" s="226"/>
      <c r="G55" s="228"/>
      <c r="H55" s="229"/>
      <c r="I55" s="230"/>
      <c r="J55" s="226"/>
      <c r="K55" s="226"/>
      <c r="L55" s="228"/>
      <c r="M55" s="229"/>
      <c r="N55" s="230"/>
      <c r="O55" s="226"/>
      <c r="P55" s="226"/>
      <c r="Q55" s="228"/>
      <c r="R55" s="229"/>
      <c r="S55" s="230"/>
      <c r="T55" s="226"/>
      <c r="U55" s="226"/>
      <c r="V55" s="228"/>
      <c r="W55" s="229"/>
      <c r="X55" s="230"/>
    </row>
    <row r="56" spans="1:24" x14ac:dyDescent="0.2">
      <c r="A56" s="51" t="s">
        <v>497</v>
      </c>
      <c r="B56" s="63"/>
      <c r="C56" s="63"/>
      <c r="D56" s="63"/>
      <c r="E56" s="63"/>
      <c r="F56" s="63"/>
      <c r="G56" s="76"/>
      <c r="H56" s="76"/>
      <c r="I56" s="63"/>
      <c r="J56" s="63"/>
      <c r="K56" s="63"/>
      <c r="L56" s="76"/>
      <c r="M56" s="76"/>
      <c r="N56" s="63"/>
      <c r="O56" s="63"/>
      <c r="P56" s="226"/>
      <c r="Q56" s="228"/>
      <c r="R56" s="229"/>
      <c r="S56" s="230"/>
      <c r="T56" s="226"/>
      <c r="U56" s="226"/>
      <c r="V56" s="228"/>
      <c r="W56" s="229"/>
      <c r="X56" s="230"/>
    </row>
    <row r="57" spans="1:24" ht="36.6" customHeight="1" x14ac:dyDescent="0.2">
      <c r="A57" s="537" t="s">
        <v>585</v>
      </c>
      <c r="B57" s="537"/>
      <c r="C57" s="537"/>
      <c r="D57" s="537"/>
      <c r="E57" s="537"/>
      <c r="F57" s="537"/>
      <c r="G57" s="537"/>
      <c r="H57" s="86"/>
      <c r="I57" s="86"/>
      <c r="J57" s="86"/>
      <c r="K57" s="86"/>
      <c r="L57" s="86"/>
      <c r="M57" s="86"/>
      <c r="N57" s="86"/>
      <c r="O57" s="86"/>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scale="51" fitToHeight="0" orientation="landscape" r:id="rId1"/>
  <headerFooter>
    <oddHeader>&amp;C&amp;"Times New Roman,Bold"&amp;14Naudas plūsmas pārskats&amp;R&amp;"Times New Roman,Regular"&amp;14 4.pielikums</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5"/>
  <sheetViews>
    <sheetView view="pageBreakPreview" zoomScale="70" zoomScaleNormal="70" zoomScaleSheetLayoutView="70" zoomScalePageLayoutView="40" workbookViewId="0">
      <pane ySplit="1" topLeftCell="A43" activePane="bottomLeft" state="frozen"/>
      <selection activeCell="K45" sqref="K45"/>
      <selection pane="bottomLeft" activeCell="K45" sqref="K45"/>
    </sheetView>
  </sheetViews>
  <sheetFormatPr defaultColWidth="9.140625" defaultRowHeight="18.75" outlineLevelCol="1" x14ac:dyDescent="0.2"/>
  <cols>
    <col min="1" max="1" width="9.5703125" style="11" customWidth="1"/>
    <col min="2" max="2" width="50.28515625" style="11" customWidth="1"/>
    <col min="3" max="3" width="15.85546875" style="11" customWidth="1"/>
    <col min="4" max="4" width="15.5703125" style="12" customWidth="1"/>
    <col min="5" max="5" width="22" style="11" customWidth="1"/>
    <col min="6" max="6" width="20.5703125" style="479" hidden="1" customWidth="1" outlineLevel="1"/>
    <col min="7" max="7" width="22.5703125" style="11" hidden="1" customWidth="1" outlineLevel="1"/>
    <col min="8" max="8" width="19.28515625" style="14" hidden="1" customWidth="1" outlineLevel="1"/>
    <col min="9" max="9" width="26.42578125" style="14" hidden="1" customWidth="1" outlineLevel="1"/>
    <col min="10" max="10" width="22" style="11" customWidth="1" collapsed="1"/>
    <col min="11" max="11" width="20.5703125" style="11" customWidth="1" outlineLevel="1"/>
    <col min="12" max="12" width="22.5703125" style="11" customWidth="1" outlineLevel="1"/>
    <col min="13" max="13" width="19.28515625" style="14" customWidth="1" outlineLevel="1"/>
    <col min="14" max="14" width="26.42578125" style="14" customWidth="1" outlineLevel="1"/>
    <col min="15" max="15" width="22" style="11" customWidth="1"/>
    <col min="16" max="16" width="20.5703125" style="11" hidden="1" customWidth="1" outlineLevel="1"/>
    <col min="17" max="17" width="22.5703125" style="11" hidden="1" customWidth="1" outlineLevel="1"/>
    <col min="18" max="18" width="19.28515625" style="14" hidden="1" customWidth="1" outlineLevel="1"/>
    <col min="19" max="19" width="26.42578125" style="14" hidden="1" customWidth="1" outlineLevel="1"/>
    <col min="20" max="20" width="22" style="11" customWidth="1" collapsed="1"/>
    <col min="21" max="21" width="20.5703125" style="11" hidden="1" customWidth="1" outlineLevel="1"/>
    <col min="22" max="22" width="22.5703125" style="11" hidden="1" customWidth="1" outlineLevel="1"/>
    <col min="23" max="23" width="19.28515625" style="14" hidden="1" customWidth="1" outlineLevel="1"/>
    <col min="24" max="24" width="26.42578125" style="14" hidden="1" customWidth="1" outlineLevel="1"/>
    <col min="25" max="25" width="9.140625" style="11" collapsed="1"/>
    <col min="26" max="16384" width="9.140625" style="11"/>
  </cols>
  <sheetData>
    <row r="1" spans="1:24" ht="63" x14ac:dyDescent="0.2">
      <c r="A1" s="122" t="s">
        <v>0</v>
      </c>
      <c r="B1" s="233" t="s">
        <v>354</v>
      </c>
      <c r="C1" s="29" t="s">
        <v>637</v>
      </c>
      <c r="D1" s="29" t="s">
        <v>638</v>
      </c>
      <c r="E1" s="29" t="s">
        <v>639</v>
      </c>
      <c r="F1" s="462" t="s">
        <v>643</v>
      </c>
      <c r="G1" s="30" t="s">
        <v>409</v>
      </c>
      <c r="H1" s="31" t="s">
        <v>410</v>
      </c>
      <c r="I1" s="29" t="s">
        <v>568</v>
      </c>
      <c r="J1" s="29" t="s">
        <v>640</v>
      </c>
      <c r="K1" s="29" t="s">
        <v>703</v>
      </c>
      <c r="L1" s="30" t="s">
        <v>704</v>
      </c>
      <c r="M1" s="31" t="s">
        <v>706</v>
      </c>
      <c r="N1" s="29" t="s">
        <v>568</v>
      </c>
      <c r="O1" s="29" t="s">
        <v>641</v>
      </c>
      <c r="P1" s="29" t="s">
        <v>486</v>
      </c>
      <c r="Q1" s="30" t="s">
        <v>409</v>
      </c>
      <c r="R1" s="31" t="s">
        <v>410</v>
      </c>
      <c r="S1" s="29" t="s">
        <v>568</v>
      </c>
      <c r="T1" s="29" t="s">
        <v>642</v>
      </c>
      <c r="U1" s="29" t="s">
        <v>487</v>
      </c>
      <c r="V1" s="30" t="s">
        <v>409</v>
      </c>
      <c r="W1" s="31" t="s">
        <v>410</v>
      </c>
      <c r="X1" s="29" t="s">
        <v>568</v>
      </c>
    </row>
    <row r="2" spans="1:24" ht="12" customHeight="1" x14ac:dyDescent="0.2">
      <c r="A2" s="55">
        <v>1</v>
      </c>
      <c r="B2" s="29">
        <v>2</v>
      </c>
      <c r="C2" s="29">
        <v>3</v>
      </c>
      <c r="D2" s="29">
        <v>4</v>
      </c>
      <c r="E2" s="29">
        <v>5</v>
      </c>
      <c r="F2" s="462">
        <v>6</v>
      </c>
      <c r="G2" s="30">
        <v>7</v>
      </c>
      <c r="H2" s="32">
        <v>8</v>
      </c>
      <c r="I2" s="29">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ht="18" customHeight="1" x14ac:dyDescent="0.2">
      <c r="A3" s="379" t="s">
        <v>248</v>
      </c>
      <c r="B3" s="380" t="s">
        <v>365</v>
      </c>
      <c r="C3" s="381" t="s">
        <v>183</v>
      </c>
      <c r="D3" s="381" t="s">
        <v>183</v>
      </c>
      <c r="E3" s="382" t="s">
        <v>183</v>
      </c>
      <c r="F3" s="463" t="s">
        <v>183</v>
      </c>
      <c r="G3" s="383" t="s">
        <v>183</v>
      </c>
      <c r="H3" s="384" t="s">
        <v>183</v>
      </c>
      <c r="I3" s="384" t="s">
        <v>183</v>
      </c>
      <c r="J3" s="382" t="s">
        <v>183</v>
      </c>
      <c r="K3" s="383" t="s">
        <v>183</v>
      </c>
      <c r="L3" s="383" t="s">
        <v>183</v>
      </c>
      <c r="M3" s="384" t="s">
        <v>183</v>
      </c>
      <c r="N3" s="384" t="s">
        <v>183</v>
      </c>
      <c r="O3" s="382" t="s">
        <v>183</v>
      </c>
      <c r="P3" s="383" t="s">
        <v>183</v>
      </c>
      <c r="Q3" s="383" t="s">
        <v>183</v>
      </c>
      <c r="R3" s="384" t="s">
        <v>183</v>
      </c>
      <c r="S3" s="384" t="s">
        <v>183</v>
      </c>
      <c r="T3" s="382" t="s">
        <v>183</v>
      </c>
      <c r="U3" s="383" t="s">
        <v>183</v>
      </c>
      <c r="V3" s="383" t="s">
        <v>183</v>
      </c>
      <c r="W3" s="384" t="s">
        <v>183</v>
      </c>
      <c r="X3" s="384" t="s">
        <v>183</v>
      </c>
    </row>
    <row r="4" spans="1:24" ht="63" customHeight="1" x14ac:dyDescent="0.2">
      <c r="A4" s="252" t="s">
        <v>247</v>
      </c>
      <c r="B4" s="153" t="s">
        <v>366</v>
      </c>
      <c r="C4" s="253" t="s">
        <v>183</v>
      </c>
      <c r="D4" s="253" t="s">
        <v>183</v>
      </c>
      <c r="E4" s="254" t="s">
        <v>183</v>
      </c>
      <c r="F4" s="464" t="s">
        <v>183</v>
      </c>
      <c r="G4" s="254" t="s">
        <v>183</v>
      </c>
      <c r="H4" s="143" t="s">
        <v>183</v>
      </c>
      <c r="I4" s="143" t="s">
        <v>183</v>
      </c>
      <c r="J4" s="254" t="s">
        <v>183</v>
      </c>
      <c r="K4" s="254" t="s">
        <v>183</v>
      </c>
      <c r="L4" s="254" t="s">
        <v>183</v>
      </c>
      <c r="M4" s="143" t="s">
        <v>183</v>
      </c>
      <c r="N4" s="143" t="s">
        <v>183</v>
      </c>
      <c r="O4" s="254" t="s">
        <v>183</v>
      </c>
      <c r="P4" s="254" t="s">
        <v>183</v>
      </c>
      <c r="Q4" s="254" t="s">
        <v>183</v>
      </c>
      <c r="R4" s="143" t="s">
        <v>183</v>
      </c>
      <c r="S4" s="143" t="s">
        <v>183</v>
      </c>
      <c r="T4" s="254" t="s">
        <v>183</v>
      </c>
      <c r="U4" s="254" t="s">
        <v>183</v>
      </c>
      <c r="V4" s="254" t="s">
        <v>183</v>
      </c>
      <c r="W4" s="143" t="s">
        <v>183</v>
      </c>
      <c r="X4" s="143" t="s">
        <v>183</v>
      </c>
    </row>
    <row r="5" spans="1:24" ht="33" customHeight="1" x14ac:dyDescent="0.2">
      <c r="A5" s="255" t="s">
        <v>246</v>
      </c>
      <c r="B5" s="256" t="s">
        <v>367</v>
      </c>
      <c r="C5" s="257">
        <f>C6+C7+C8</f>
        <v>3528</v>
      </c>
      <c r="D5" s="257">
        <f>D6+D7+D8</f>
        <v>3525</v>
      </c>
      <c r="E5" s="98">
        <f t="shared" ref="E5" si="0">E6+E7+E8</f>
        <v>875</v>
      </c>
      <c r="F5" s="465">
        <f>F6+F7+F8</f>
        <v>906</v>
      </c>
      <c r="G5" s="99">
        <f>F5-E5</f>
        <v>31</v>
      </c>
      <c r="H5" s="100">
        <f>IFERROR(G5/ABS(E5), "-")</f>
        <v>3.5428571428571427E-2</v>
      </c>
      <c r="I5" s="258"/>
      <c r="J5" s="98">
        <f t="shared" ref="J5" si="1">J6+J7+J8</f>
        <v>1749</v>
      </c>
      <c r="K5" s="98">
        <f>K6+K7+K8</f>
        <v>0</v>
      </c>
      <c r="L5" s="99">
        <f>K5-J5</f>
        <v>-1749</v>
      </c>
      <c r="M5" s="100">
        <f>IFERROR(L5/ABS(J5), "-")</f>
        <v>-1</v>
      </c>
      <c r="N5" s="258"/>
      <c r="O5" s="98">
        <f t="shared" ref="O5" si="2">O6+O7+O8</f>
        <v>2626</v>
      </c>
      <c r="P5" s="98">
        <f>P6+P7+P8</f>
        <v>0</v>
      </c>
      <c r="Q5" s="99">
        <f>P5-O5</f>
        <v>-2626</v>
      </c>
      <c r="R5" s="100">
        <f>IFERROR(Q5/ABS(O5), "-")</f>
        <v>-1</v>
      </c>
      <c r="S5" s="258"/>
      <c r="T5" s="98">
        <f t="shared" ref="T5" si="3">T6+T7+T8</f>
        <v>3525</v>
      </c>
      <c r="U5" s="98">
        <f>U6+U7+U8</f>
        <v>0</v>
      </c>
      <c r="V5" s="99">
        <f>U5-T5</f>
        <v>-3525</v>
      </c>
      <c r="W5" s="100">
        <f>IFERROR(V5/ABS(T5), "-")</f>
        <v>-1</v>
      </c>
      <c r="X5" s="258"/>
    </row>
    <row r="6" spans="1:24" ht="50.1" customHeight="1" x14ac:dyDescent="0.2">
      <c r="A6" s="255" t="s">
        <v>245</v>
      </c>
      <c r="B6" s="259" t="s">
        <v>502</v>
      </c>
      <c r="C6" s="167">
        <v>186</v>
      </c>
      <c r="D6" s="167">
        <v>132</v>
      </c>
      <c r="E6" s="103">
        <v>33</v>
      </c>
      <c r="F6" s="466">
        <v>42</v>
      </c>
      <c r="G6" s="104">
        <f t="shared" ref="G6:G14" si="4">F6-E6</f>
        <v>9</v>
      </c>
      <c r="H6" s="100">
        <f t="shared" ref="H6:H14" si="5">IFERROR(G6/ABS(E6), "-")</f>
        <v>0.27272727272727271</v>
      </c>
      <c r="I6" s="258"/>
      <c r="J6" s="103">
        <v>65</v>
      </c>
      <c r="K6" s="103"/>
      <c r="L6" s="104">
        <f t="shared" ref="L6:L14" si="6">K6-J6</f>
        <v>-65</v>
      </c>
      <c r="M6" s="100">
        <f t="shared" ref="M6:M14" si="7">IFERROR(L6/ABS(J6), "-")</f>
        <v>-1</v>
      </c>
      <c r="N6" s="258"/>
      <c r="O6" s="103">
        <v>100</v>
      </c>
      <c r="P6" s="103"/>
      <c r="Q6" s="104">
        <f t="shared" ref="Q6:Q14" si="8">P6-O6</f>
        <v>-100</v>
      </c>
      <c r="R6" s="100">
        <f t="shared" ref="R6:R14" si="9">IFERROR(Q6/ABS(O6), "-")</f>
        <v>-1</v>
      </c>
      <c r="S6" s="258"/>
      <c r="T6" s="103">
        <f>D6</f>
        <v>132</v>
      </c>
      <c r="U6" s="103"/>
      <c r="V6" s="104">
        <f t="shared" ref="V6:V14" si="10">U6-T6</f>
        <v>-132</v>
      </c>
      <c r="W6" s="100">
        <f t="shared" ref="W6:W14" si="11">IFERROR(V6/ABS(T6), "-")</f>
        <v>-1</v>
      </c>
      <c r="X6" s="258"/>
    </row>
    <row r="7" spans="1:24" ht="32.1" customHeight="1" x14ac:dyDescent="0.2">
      <c r="A7" s="255" t="s">
        <v>244</v>
      </c>
      <c r="B7" s="259" t="s">
        <v>503</v>
      </c>
      <c r="C7" s="167">
        <v>3227</v>
      </c>
      <c r="D7" s="167">
        <f>3240+20</f>
        <v>3260</v>
      </c>
      <c r="E7" s="103">
        <v>810</v>
      </c>
      <c r="F7" s="466">
        <v>821</v>
      </c>
      <c r="G7" s="104">
        <f t="shared" si="4"/>
        <v>11</v>
      </c>
      <c r="H7" s="100">
        <f t="shared" si="5"/>
        <v>1.3580246913580247E-2</v>
      </c>
      <c r="I7" s="258"/>
      <c r="J7" s="103">
        <v>1620</v>
      </c>
      <c r="K7" s="103"/>
      <c r="L7" s="104">
        <f t="shared" si="6"/>
        <v>-1620</v>
      </c>
      <c r="M7" s="100">
        <f t="shared" si="7"/>
        <v>-1</v>
      </c>
      <c r="N7" s="258"/>
      <c r="O7" s="103">
        <v>2430</v>
      </c>
      <c r="P7" s="103"/>
      <c r="Q7" s="104">
        <f t="shared" si="8"/>
        <v>-2430</v>
      </c>
      <c r="R7" s="100">
        <f t="shared" si="9"/>
        <v>-1</v>
      </c>
      <c r="S7" s="258"/>
      <c r="T7" s="103">
        <f>D7</f>
        <v>3260</v>
      </c>
      <c r="U7" s="103"/>
      <c r="V7" s="104">
        <f t="shared" si="10"/>
        <v>-3260</v>
      </c>
      <c r="W7" s="100">
        <f t="shared" si="11"/>
        <v>-1</v>
      </c>
      <c r="X7" s="258"/>
    </row>
    <row r="8" spans="1:24" ht="32.1" customHeight="1" x14ac:dyDescent="0.2">
      <c r="A8" s="255" t="s">
        <v>243</v>
      </c>
      <c r="B8" s="259" t="s">
        <v>504</v>
      </c>
      <c r="C8" s="260">
        <f>C9+C10</f>
        <v>115</v>
      </c>
      <c r="D8" s="260">
        <f t="shared" ref="D8:F8" si="12">D9+D10</f>
        <v>133</v>
      </c>
      <c r="E8" s="98">
        <f t="shared" si="12"/>
        <v>32</v>
      </c>
      <c r="F8" s="465">
        <f t="shared" si="12"/>
        <v>43</v>
      </c>
      <c r="G8" s="99">
        <f t="shared" si="4"/>
        <v>11</v>
      </c>
      <c r="H8" s="100">
        <f t="shared" si="5"/>
        <v>0.34375</v>
      </c>
      <c r="I8" s="258"/>
      <c r="J8" s="98">
        <f t="shared" ref="J8:K8" si="13">J9+J10</f>
        <v>64</v>
      </c>
      <c r="K8" s="98">
        <f t="shared" si="13"/>
        <v>0</v>
      </c>
      <c r="L8" s="99">
        <f t="shared" si="6"/>
        <v>-64</v>
      </c>
      <c r="M8" s="100">
        <f t="shared" si="7"/>
        <v>-1</v>
      </c>
      <c r="N8" s="258"/>
      <c r="O8" s="98">
        <f t="shared" ref="O8:P8" si="14">O9+O10</f>
        <v>96</v>
      </c>
      <c r="P8" s="98">
        <f t="shared" si="14"/>
        <v>0</v>
      </c>
      <c r="Q8" s="99">
        <f t="shared" si="8"/>
        <v>-96</v>
      </c>
      <c r="R8" s="100">
        <f t="shared" si="9"/>
        <v>-1</v>
      </c>
      <c r="S8" s="258"/>
      <c r="T8" s="98">
        <f t="shared" ref="T8:U8" si="15">T9+T10</f>
        <v>133</v>
      </c>
      <c r="U8" s="98">
        <f t="shared" si="15"/>
        <v>0</v>
      </c>
      <c r="V8" s="99">
        <f t="shared" si="10"/>
        <v>-133</v>
      </c>
      <c r="W8" s="100">
        <f t="shared" si="11"/>
        <v>-1</v>
      </c>
      <c r="X8" s="258"/>
    </row>
    <row r="9" spans="1:24" ht="31.5" customHeight="1" x14ac:dyDescent="0.2">
      <c r="A9" s="261" t="s">
        <v>242</v>
      </c>
      <c r="B9" s="262" t="s">
        <v>368</v>
      </c>
      <c r="C9" s="167">
        <v>83</v>
      </c>
      <c r="D9" s="167">
        <v>85</v>
      </c>
      <c r="E9" s="103">
        <v>20</v>
      </c>
      <c r="F9" s="466">
        <v>23</v>
      </c>
      <c r="G9" s="104">
        <f t="shared" si="4"/>
        <v>3</v>
      </c>
      <c r="H9" s="100">
        <f t="shared" si="5"/>
        <v>0.15</v>
      </c>
      <c r="I9" s="258"/>
      <c r="J9" s="103">
        <v>40</v>
      </c>
      <c r="K9" s="103"/>
      <c r="L9" s="104">
        <f t="shared" si="6"/>
        <v>-40</v>
      </c>
      <c r="M9" s="100">
        <f t="shared" si="7"/>
        <v>-1</v>
      </c>
      <c r="N9" s="258"/>
      <c r="O9" s="103">
        <v>60</v>
      </c>
      <c r="P9" s="103"/>
      <c r="Q9" s="104">
        <f t="shared" si="8"/>
        <v>-60</v>
      </c>
      <c r="R9" s="100">
        <f t="shared" si="9"/>
        <v>-1</v>
      </c>
      <c r="S9" s="258"/>
      <c r="T9" s="103">
        <f>D9</f>
        <v>85</v>
      </c>
      <c r="U9" s="103"/>
      <c r="V9" s="104">
        <f t="shared" si="10"/>
        <v>-85</v>
      </c>
      <c r="W9" s="100">
        <f t="shared" si="11"/>
        <v>-1</v>
      </c>
      <c r="X9" s="258"/>
    </row>
    <row r="10" spans="1:24" ht="30.95" customHeight="1" x14ac:dyDescent="0.2">
      <c r="A10" s="261" t="s">
        <v>241</v>
      </c>
      <c r="B10" s="262" t="s">
        <v>369</v>
      </c>
      <c r="C10" s="167">
        <v>32</v>
      </c>
      <c r="D10" s="167">
        <v>48</v>
      </c>
      <c r="E10" s="103">
        <v>12</v>
      </c>
      <c r="F10" s="466">
        <v>20</v>
      </c>
      <c r="G10" s="104">
        <f t="shared" si="4"/>
        <v>8</v>
      </c>
      <c r="H10" s="100">
        <f t="shared" si="5"/>
        <v>0.66666666666666663</v>
      </c>
      <c r="I10" s="258"/>
      <c r="J10" s="103">
        <v>24</v>
      </c>
      <c r="K10" s="103"/>
      <c r="L10" s="104">
        <f t="shared" si="6"/>
        <v>-24</v>
      </c>
      <c r="M10" s="100">
        <f t="shared" si="7"/>
        <v>-1</v>
      </c>
      <c r="N10" s="258"/>
      <c r="O10" s="103">
        <v>36</v>
      </c>
      <c r="P10" s="103"/>
      <c r="Q10" s="104">
        <f t="shared" si="8"/>
        <v>-36</v>
      </c>
      <c r="R10" s="100">
        <f t="shared" si="9"/>
        <v>-1</v>
      </c>
      <c r="S10" s="258"/>
      <c r="T10" s="103">
        <f>D10</f>
        <v>48</v>
      </c>
      <c r="U10" s="103"/>
      <c r="V10" s="104">
        <f t="shared" si="10"/>
        <v>-48</v>
      </c>
      <c r="W10" s="100">
        <f t="shared" si="11"/>
        <v>-1</v>
      </c>
      <c r="X10" s="258"/>
    </row>
    <row r="11" spans="1:24" ht="35.450000000000003" customHeight="1" x14ac:dyDescent="0.2">
      <c r="A11" s="255" t="s">
        <v>370</v>
      </c>
      <c r="B11" s="263" t="s">
        <v>371</v>
      </c>
      <c r="C11" s="264">
        <f>C7+C10</f>
        <v>3259</v>
      </c>
      <c r="D11" s="264">
        <f t="shared" ref="D11:F11" si="16">D7+D10</f>
        <v>3308</v>
      </c>
      <c r="E11" s="264">
        <f t="shared" si="16"/>
        <v>822</v>
      </c>
      <c r="F11" s="467">
        <f t="shared" si="16"/>
        <v>841</v>
      </c>
      <c r="G11" s="265">
        <f t="shared" si="4"/>
        <v>19</v>
      </c>
      <c r="H11" s="100">
        <f t="shared" si="5"/>
        <v>2.3114355231143552E-2</v>
      </c>
      <c r="I11" s="258"/>
      <c r="J11" s="264">
        <f t="shared" ref="J11:K11" si="17">J7+J10</f>
        <v>1644</v>
      </c>
      <c r="K11" s="264">
        <f t="shared" si="17"/>
        <v>0</v>
      </c>
      <c r="L11" s="265">
        <f t="shared" si="6"/>
        <v>-1644</v>
      </c>
      <c r="M11" s="100">
        <f t="shared" si="7"/>
        <v>-1</v>
      </c>
      <c r="N11" s="258"/>
      <c r="O11" s="264">
        <f t="shared" ref="O11:P11" si="18">O7+O10</f>
        <v>2466</v>
      </c>
      <c r="P11" s="264">
        <f t="shared" si="18"/>
        <v>0</v>
      </c>
      <c r="Q11" s="265">
        <f t="shared" si="8"/>
        <v>-2466</v>
      </c>
      <c r="R11" s="100">
        <f t="shared" si="9"/>
        <v>-1</v>
      </c>
      <c r="S11" s="258"/>
      <c r="T11" s="264">
        <f t="shared" ref="T11:U11" si="19">T7+T10</f>
        <v>3308</v>
      </c>
      <c r="U11" s="264">
        <f t="shared" si="19"/>
        <v>0</v>
      </c>
      <c r="V11" s="265">
        <f t="shared" si="10"/>
        <v>-3308</v>
      </c>
      <c r="W11" s="100">
        <f t="shared" si="11"/>
        <v>-1</v>
      </c>
      <c r="X11" s="258"/>
    </row>
    <row r="12" spans="1:24" ht="32.1" customHeight="1" x14ac:dyDescent="0.2">
      <c r="A12" s="255" t="s">
        <v>372</v>
      </c>
      <c r="B12" s="263" t="s">
        <v>402</v>
      </c>
      <c r="C12" s="445">
        <f>IFERROR(C11/C5, "-")</f>
        <v>0.9237528344671202</v>
      </c>
      <c r="D12" s="445">
        <f t="shared" ref="D12:F12" si="20">IFERROR(D11/D5, "-")</f>
        <v>0.93843971631205669</v>
      </c>
      <c r="E12" s="445">
        <f t="shared" si="20"/>
        <v>0.93942857142857139</v>
      </c>
      <c r="F12" s="468">
        <f t="shared" si="20"/>
        <v>0.92825607064017657</v>
      </c>
      <c r="G12" s="449">
        <f>F12-E12</f>
        <v>-1.1172500788394824E-2</v>
      </c>
      <c r="H12" s="100">
        <f t="shared" si="5"/>
        <v>-1.1892868844094247E-2</v>
      </c>
      <c r="I12" s="450"/>
      <c r="J12" s="445">
        <f t="shared" ref="J12:K12" si="21">IFERROR(J11/J5, "-")</f>
        <v>0.93996569468267577</v>
      </c>
      <c r="K12" s="445" t="str">
        <f t="shared" si="21"/>
        <v>-</v>
      </c>
      <c r="L12" s="449" t="e">
        <f t="shared" si="6"/>
        <v>#VALUE!</v>
      </c>
      <c r="M12" s="100" t="str">
        <f t="shared" si="7"/>
        <v>-</v>
      </c>
      <c r="N12" s="450"/>
      <c r="O12" s="445">
        <f t="shared" ref="O12:P12" si="22">IFERROR(O11/O5, "-")</f>
        <v>0.93907083015993909</v>
      </c>
      <c r="P12" s="445" t="str">
        <f t="shared" si="22"/>
        <v>-</v>
      </c>
      <c r="Q12" s="449" t="e">
        <f t="shared" si="8"/>
        <v>#VALUE!</v>
      </c>
      <c r="R12" s="100" t="str">
        <f t="shared" si="9"/>
        <v>-</v>
      </c>
      <c r="S12" s="450"/>
      <c r="T12" s="445">
        <f t="shared" ref="T12:U12" si="23">IFERROR(T11/T5, "-")</f>
        <v>0.93843971631205669</v>
      </c>
      <c r="U12" s="266" t="str">
        <f t="shared" si="23"/>
        <v>-</v>
      </c>
      <c r="V12" s="267" t="e">
        <f t="shared" si="10"/>
        <v>#VALUE!</v>
      </c>
      <c r="W12" s="100" t="str">
        <f t="shared" si="11"/>
        <v>-</v>
      </c>
      <c r="X12" s="258"/>
    </row>
    <row r="13" spans="1:24" ht="18" customHeight="1" x14ac:dyDescent="0.2">
      <c r="A13" s="255" t="s">
        <v>373</v>
      </c>
      <c r="B13" s="263" t="s">
        <v>505</v>
      </c>
      <c r="C13" s="268">
        <v>5</v>
      </c>
      <c r="D13" s="268">
        <v>5</v>
      </c>
      <c r="E13" s="268">
        <v>5</v>
      </c>
      <c r="F13" s="469">
        <v>5</v>
      </c>
      <c r="G13" s="269">
        <f t="shared" si="4"/>
        <v>0</v>
      </c>
      <c r="H13" s="100">
        <f t="shared" si="5"/>
        <v>0</v>
      </c>
      <c r="I13" s="258"/>
      <c r="J13" s="268">
        <v>5</v>
      </c>
      <c r="K13" s="268"/>
      <c r="L13" s="269">
        <f t="shared" si="6"/>
        <v>-5</v>
      </c>
      <c r="M13" s="100">
        <f t="shared" si="7"/>
        <v>-1</v>
      </c>
      <c r="N13" s="258"/>
      <c r="O13" s="268">
        <v>5</v>
      </c>
      <c r="P13" s="268"/>
      <c r="Q13" s="269">
        <f t="shared" si="8"/>
        <v>-5</v>
      </c>
      <c r="R13" s="100">
        <f t="shared" si="9"/>
        <v>-1</v>
      </c>
      <c r="S13" s="258"/>
      <c r="T13" s="268">
        <v>5</v>
      </c>
      <c r="U13" s="268"/>
      <c r="V13" s="269">
        <f t="shared" si="10"/>
        <v>-5</v>
      </c>
      <c r="W13" s="100">
        <f t="shared" si="11"/>
        <v>-1</v>
      </c>
      <c r="X13" s="258"/>
    </row>
    <row r="14" spans="1:24" ht="34.5" customHeight="1" x14ac:dyDescent="0.2">
      <c r="A14" s="255" t="s">
        <v>374</v>
      </c>
      <c r="B14" s="263" t="s">
        <v>375</v>
      </c>
      <c r="C14" s="445">
        <f>IFERROR(C8/C5, "-")</f>
        <v>3.2596371882086167E-2</v>
      </c>
      <c r="D14" s="445">
        <f t="shared" ref="D14:F14" si="24">IFERROR(D8/D5, "-")</f>
        <v>3.7730496453900711E-2</v>
      </c>
      <c r="E14" s="445">
        <f t="shared" si="24"/>
        <v>3.6571428571428574E-2</v>
      </c>
      <c r="F14" s="468">
        <f t="shared" si="24"/>
        <v>4.7461368653421633E-2</v>
      </c>
      <c r="G14" s="449">
        <f t="shared" si="4"/>
        <v>1.0889940081993059E-2</v>
      </c>
      <c r="H14" s="100">
        <f t="shared" si="5"/>
        <v>0.29777179911699769</v>
      </c>
      <c r="I14" s="450"/>
      <c r="J14" s="445">
        <f t="shared" ref="J14:K14" si="25">IFERROR(J8/J5, "-")</f>
        <v>3.6592338479130931E-2</v>
      </c>
      <c r="K14" s="445" t="str">
        <f t="shared" si="25"/>
        <v>-</v>
      </c>
      <c r="L14" s="449" t="e">
        <f t="shared" si="6"/>
        <v>#VALUE!</v>
      </c>
      <c r="M14" s="100" t="str">
        <f t="shared" si="7"/>
        <v>-</v>
      </c>
      <c r="N14" s="450"/>
      <c r="O14" s="445">
        <f t="shared" ref="O14:P14" si="26">IFERROR(O8/O5, "-")</f>
        <v>3.655750190403656E-2</v>
      </c>
      <c r="P14" s="445" t="str">
        <f t="shared" si="26"/>
        <v>-</v>
      </c>
      <c r="Q14" s="449" t="e">
        <f t="shared" si="8"/>
        <v>#VALUE!</v>
      </c>
      <c r="R14" s="100" t="str">
        <f t="shared" si="9"/>
        <v>-</v>
      </c>
      <c r="S14" s="450"/>
      <c r="T14" s="445">
        <f t="shared" ref="T14:U14" si="27">IFERROR(T8/T5, "-")</f>
        <v>3.7730496453900711E-2</v>
      </c>
      <c r="U14" s="266" t="str">
        <f t="shared" si="27"/>
        <v>-</v>
      </c>
      <c r="V14" s="267" t="e">
        <f t="shared" si="10"/>
        <v>#VALUE!</v>
      </c>
      <c r="W14" s="100" t="str">
        <f t="shared" si="11"/>
        <v>-</v>
      </c>
      <c r="X14" s="258"/>
    </row>
    <row r="15" spans="1:24" ht="18" customHeight="1" x14ac:dyDescent="0.2">
      <c r="A15" s="379" t="s">
        <v>240</v>
      </c>
      <c r="B15" s="385" t="s">
        <v>376</v>
      </c>
      <c r="C15" s="386" t="s">
        <v>183</v>
      </c>
      <c r="D15" s="386" t="s">
        <v>183</v>
      </c>
      <c r="E15" s="382" t="s">
        <v>183</v>
      </c>
      <c r="F15" s="463" t="s">
        <v>183</v>
      </c>
      <c r="G15" s="383" t="s">
        <v>183</v>
      </c>
      <c r="H15" s="384" t="s">
        <v>183</v>
      </c>
      <c r="I15" s="384" t="s">
        <v>183</v>
      </c>
      <c r="J15" s="382" t="s">
        <v>183</v>
      </c>
      <c r="K15" s="383" t="s">
        <v>183</v>
      </c>
      <c r="L15" s="383" t="s">
        <v>183</v>
      </c>
      <c r="M15" s="384" t="s">
        <v>183</v>
      </c>
      <c r="N15" s="384" t="s">
        <v>183</v>
      </c>
      <c r="O15" s="382" t="s">
        <v>183</v>
      </c>
      <c r="P15" s="383" t="s">
        <v>183</v>
      </c>
      <c r="Q15" s="383" t="s">
        <v>183</v>
      </c>
      <c r="R15" s="384" t="s">
        <v>183</v>
      </c>
      <c r="S15" s="384" t="s">
        <v>183</v>
      </c>
      <c r="T15" s="382" t="s">
        <v>183</v>
      </c>
      <c r="U15" s="383" t="s">
        <v>183</v>
      </c>
      <c r="V15" s="383" t="s">
        <v>183</v>
      </c>
      <c r="W15" s="384" t="s">
        <v>183</v>
      </c>
      <c r="X15" s="384" t="s">
        <v>183</v>
      </c>
    </row>
    <row r="16" spans="1:24" ht="18" customHeight="1" x14ac:dyDescent="0.2">
      <c r="A16" s="272" t="s">
        <v>239</v>
      </c>
      <c r="B16" s="273" t="s">
        <v>238</v>
      </c>
      <c r="C16" s="274">
        <v>273</v>
      </c>
      <c r="D16" s="274">
        <v>269</v>
      </c>
      <c r="E16" s="275">
        <v>269</v>
      </c>
      <c r="F16" s="470">
        <v>269</v>
      </c>
      <c r="G16" s="276">
        <f t="shared" ref="G16:G30" si="28">F16-E16</f>
        <v>0</v>
      </c>
      <c r="H16" s="100">
        <f t="shared" ref="H16:H30" si="29">IFERROR(G16/ABS(E16), "-")</f>
        <v>0</v>
      </c>
      <c r="I16" s="258"/>
      <c r="J16" s="275">
        <v>269</v>
      </c>
      <c r="K16" s="275"/>
      <c r="L16" s="276">
        <f t="shared" ref="L16:L30" si="30">K16-J16</f>
        <v>-269</v>
      </c>
      <c r="M16" s="100">
        <f t="shared" ref="M16:M30" si="31">IFERROR(L16/ABS(J16), "-")</f>
        <v>-1</v>
      </c>
      <c r="N16" s="258"/>
      <c r="O16" s="275">
        <v>269</v>
      </c>
      <c r="P16" s="275"/>
      <c r="Q16" s="276">
        <f t="shared" ref="Q16:Q30" si="32">P16-O16</f>
        <v>-269</v>
      </c>
      <c r="R16" s="100">
        <f t="shared" ref="R16:R30" si="33">IFERROR(Q16/ABS(O16), "-")</f>
        <v>-1</v>
      </c>
      <c r="S16" s="258"/>
      <c r="T16" s="275">
        <f>D16</f>
        <v>269</v>
      </c>
      <c r="U16" s="275"/>
      <c r="V16" s="276">
        <f t="shared" ref="V16:V30" si="34">U16-T16</f>
        <v>-269</v>
      </c>
      <c r="W16" s="100">
        <f t="shared" ref="W16:W30" si="35">IFERROR(V16/ABS(T16), "-")</f>
        <v>-1</v>
      </c>
      <c r="X16" s="258"/>
    </row>
    <row r="17" spans="1:24" ht="18" customHeight="1" x14ac:dyDescent="0.2">
      <c r="A17" s="272" t="s">
        <v>291</v>
      </c>
      <c r="B17" s="18" t="s">
        <v>377</v>
      </c>
      <c r="C17" s="277">
        <v>73814</v>
      </c>
      <c r="D17" s="277">
        <v>75600</v>
      </c>
      <c r="E17" s="275">
        <v>18900</v>
      </c>
      <c r="F17" s="470">
        <v>18845</v>
      </c>
      <c r="G17" s="104">
        <f t="shared" si="28"/>
        <v>-55</v>
      </c>
      <c r="H17" s="100">
        <f t="shared" si="29"/>
        <v>-2.91005291005291E-3</v>
      </c>
      <c r="I17" s="258"/>
      <c r="J17" s="275">
        <v>37045</v>
      </c>
      <c r="K17" s="275"/>
      <c r="L17" s="104">
        <f t="shared" si="30"/>
        <v>-37045</v>
      </c>
      <c r="M17" s="100">
        <f t="shared" si="31"/>
        <v>-1</v>
      </c>
      <c r="N17" s="258"/>
      <c r="O17" s="275">
        <v>55566</v>
      </c>
      <c r="P17" s="275"/>
      <c r="Q17" s="104">
        <f t="shared" si="32"/>
        <v>-55566</v>
      </c>
      <c r="R17" s="100">
        <f t="shared" si="33"/>
        <v>-1</v>
      </c>
      <c r="S17" s="258"/>
      <c r="T17" s="275">
        <f>D17</f>
        <v>75600</v>
      </c>
      <c r="U17" s="275"/>
      <c r="V17" s="104">
        <f t="shared" si="34"/>
        <v>-75600</v>
      </c>
      <c r="W17" s="100">
        <f t="shared" si="35"/>
        <v>-1</v>
      </c>
      <c r="X17" s="258"/>
    </row>
    <row r="18" spans="1:24" ht="32.450000000000003" customHeight="1" x14ac:dyDescent="0.2">
      <c r="A18" s="278" t="s">
        <v>249</v>
      </c>
      <c r="B18" s="17" t="s">
        <v>378</v>
      </c>
      <c r="C18" s="451">
        <v>131.62</v>
      </c>
      <c r="D18" s="451">
        <v>109.22</v>
      </c>
      <c r="E18" s="452">
        <v>109.22</v>
      </c>
      <c r="F18" s="471">
        <f>2093916.67/F17</f>
        <v>111.11258530114088</v>
      </c>
      <c r="G18" s="485">
        <f t="shared" si="28"/>
        <v>1.8925853011408833</v>
      </c>
      <c r="H18" s="486">
        <f t="shared" si="29"/>
        <v>1.7328193564739823E-2</v>
      </c>
      <c r="I18" s="455"/>
      <c r="J18" s="452">
        <v>109.22</v>
      </c>
      <c r="K18" s="452"/>
      <c r="L18" s="453">
        <f t="shared" si="30"/>
        <v>-109.22</v>
      </c>
      <c r="M18" s="454">
        <f t="shared" si="31"/>
        <v>-1</v>
      </c>
      <c r="N18" s="455"/>
      <c r="O18" s="452">
        <v>109.22</v>
      </c>
      <c r="P18" s="452"/>
      <c r="Q18" s="453">
        <f t="shared" si="32"/>
        <v>-109.22</v>
      </c>
      <c r="R18" s="454">
        <f t="shared" si="33"/>
        <v>-1</v>
      </c>
      <c r="S18" s="455"/>
      <c r="T18" s="452">
        <v>109.22</v>
      </c>
      <c r="U18" s="21"/>
      <c r="V18" s="110">
        <f t="shared" si="34"/>
        <v>-109.22</v>
      </c>
      <c r="W18" s="115">
        <f t="shared" si="35"/>
        <v>-1</v>
      </c>
      <c r="X18" s="279"/>
    </row>
    <row r="19" spans="1:24" ht="18" customHeight="1" x14ac:dyDescent="0.2">
      <c r="A19" s="278" t="s">
        <v>250</v>
      </c>
      <c r="B19" s="17" t="s">
        <v>379</v>
      </c>
      <c r="C19" s="451">
        <v>127.02</v>
      </c>
      <c r="D19" s="451">
        <v>121.24</v>
      </c>
      <c r="E19" s="452">
        <v>127.8</v>
      </c>
      <c r="F19" s="471">
        <f>2324014.64/F17</f>
        <v>123.32261289466703</v>
      </c>
      <c r="G19" s="485">
        <f t="shared" si="28"/>
        <v>-4.4773871053329657</v>
      </c>
      <c r="H19" s="486">
        <f t="shared" si="29"/>
        <v>-3.5034327897754035E-2</v>
      </c>
      <c r="I19" s="455"/>
      <c r="J19" s="452">
        <v>123.42</v>
      </c>
      <c r="K19" s="452"/>
      <c r="L19" s="453">
        <f t="shared" si="30"/>
        <v>-123.42</v>
      </c>
      <c r="M19" s="454">
        <f t="shared" si="31"/>
        <v>-1</v>
      </c>
      <c r="N19" s="455"/>
      <c r="O19" s="452">
        <v>121.38</v>
      </c>
      <c r="P19" s="452"/>
      <c r="Q19" s="453">
        <f t="shared" si="32"/>
        <v>-121.38</v>
      </c>
      <c r="R19" s="454">
        <f t="shared" si="33"/>
        <v>-1</v>
      </c>
      <c r="S19" s="455"/>
      <c r="T19" s="452">
        <v>121.24</v>
      </c>
      <c r="U19" s="21"/>
      <c r="V19" s="110">
        <f t="shared" si="34"/>
        <v>-121.24</v>
      </c>
      <c r="W19" s="115">
        <f t="shared" si="35"/>
        <v>-1</v>
      </c>
      <c r="X19" s="279"/>
    </row>
    <row r="20" spans="1:24" ht="18" customHeight="1" x14ac:dyDescent="0.2">
      <c r="A20" s="272" t="s">
        <v>237</v>
      </c>
      <c r="B20" s="280" t="s">
        <v>506</v>
      </c>
      <c r="C20" s="274">
        <v>3259</v>
      </c>
      <c r="D20" s="274">
        <v>3308</v>
      </c>
      <c r="E20" s="275">
        <v>822</v>
      </c>
      <c r="F20" s="470">
        <v>841</v>
      </c>
      <c r="G20" s="104">
        <f t="shared" si="28"/>
        <v>19</v>
      </c>
      <c r="H20" s="100">
        <f t="shared" si="29"/>
        <v>2.3114355231143552E-2</v>
      </c>
      <c r="I20" s="258"/>
      <c r="J20" s="275">
        <v>1644</v>
      </c>
      <c r="K20" s="275"/>
      <c r="L20" s="104">
        <f t="shared" si="30"/>
        <v>-1644</v>
      </c>
      <c r="M20" s="100">
        <f t="shared" si="31"/>
        <v>-1</v>
      </c>
      <c r="N20" s="258"/>
      <c r="O20" s="275">
        <v>2466</v>
      </c>
      <c r="P20" s="275"/>
      <c r="Q20" s="104">
        <f t="shared" si="32"/>
        <v>-2466</v>
      </c>
      <c r="R20" s="100">
        <f t="shared" si="33"/>
        <v>-1</v>
      </c>
      <c r="S20" s="258"/>
      <c r="T20" s="275">
        <f>D20</f>
        <v>3308</v>
      </c>
      <c r="U20" s="275"/>
      <c r="V20" s="104">
        <f t="shared" si="34"/>
        <v>-3308</v>
      </c>
      <c r="W20" s="100">
        <f t="shared" si="35"/>
        <v>-1</v>
      </c>
      <c r="X20" s="258"/>
    </row>
    <row r="21" spans="1:24" ht="18" customHeight="1" x14ac:dyDescent="0.2">
      <c r="A21" s="281" t="s">
        <v>289</v>
      </c>
      <c r="B21" s="282" t="s">
        <v>507</v>
      </c>
      <c r="C21" s="274">
        <v>3248</v>
      </c>
      <c r="D21" s="274">
        <v>3288</v>
      </c>
      <c r="E21" s="275">
        <v>822</v>
      </c>
      <c r="F21" s="470">
        <v>841</v>
      </c>
      <c r="G21" s="104">
        <f t="shared" si="28"/>
        <v>19</v>
      </c>
      <c r="H21" s="100">
        <f t="shared" si="29"/>
        <v>2.3114355231143552E-2</v>
      </c>
      <c r="I21" s="258"/>
      <c r="J21" s="275">
        <v>1644</v>
      </c>
      <c r="K21" s="275"/>
      <c r="L21" s="104">
        <f t="shared" si="30"/>
        <v>-1644</v>
      </c>
      <c r="M21" s="100">
        <f t="shared" si="31"/>
        <v>-1</v>
      </c>
      <c r="N21" s="258"/>
      <c r="O21" s="275">
        <v>2466</v>
      </c>
      <c r="P21" s="275"/>
      <c r="Q21" s="104">
        <f t="shared" si="32"/>
        <v>-2466</v>
      </c>
      <c r="R21" s="100">
        <f t="shared" si="33"/>
        <v>-1</v>
      </c>
      <c r="S21" s="258"/>
      <c r="T21" s="275">
        <f>D21</f>
        <v>3288</v>
      </c>
      <c r="U21" s="275"/>
      <c r="V21" s="104">
        <f t="shared" si="34"/>
        <v>-3288</v>
      </c>
      <c r="W21" s="100">
        <f t="shared" si="35"/>
        <v>-1</v>
      </c>
      <c r="X21" s="258"/>
    </row>
    <row r="22" spans="1:24" ht="18" customHeight="1" x14ac:dyDescent="0.2">
      <c r="A22" s="272" t="s">
        <v>236</v>
      </c>
      <c r="B22" s="273" t="s">
        <v>508</v>
      </c>
      <c r="C22" s="274">
        <v>211</v>
      </c>
      <c r="D22" s="274">
        <v>200</v>
      </c>
      <c r="E22" s="275">
        <v>50</v>
      </c>
      <c r="F22" s="470">
        <v>52</v>
      </c>
      <c r="G22" s="104">
        <f t="shared" si="28"/>
        <v>2</v>
      </c>
      <c r="H22" s="100">
        <f t="shared" si="29"/>
        <v>0.04</v>
      </c>
      <c r="I22" s="258"/>
      <c r="J22" s="275">
        <v>100</v>
      </c>
      <c r="K22" s="275"/>
      <c r="L22" s="104">
        <f t="shared" si="30"/>
        <v>-100</v>
      </c>
      <c r="M22" s="100">
        <f t="shared" si="31"/>
        <v>-1</v>
      </c>
      <c r="N22" s="258"/>
      <c r="O22" s="275">
        <v>150</v>
      </c>
      <c r="P22" s="275"/>
      <c r="Q22" s="104">
        <f t="shared" si="32"/>
        <v>-150</v>
      </c>
      <c r="R22" s="100">
        <f t="shared" si="33"/>
        <v>-1</v>
      </c>
      <c r="S22" s="258"/>
      <c r="T22" s="275">
        <f>D22</f>
        <v>200</v>
      </c>
      <c r="U22" s="275"/>
      <c r="V22" s="104">
        <f t="shared" si="34"/>
        <v>-200</v>
      </c>
      <c r="W22" s="100">
        <f t="shared" si="35"/>
        <v>-1</v>
      </c>
      <c r="X22" s="258"/>
    </row>
    <row r="23" spans="1:24" ht="18" customHeight="1" x14ac:dyDescent="0.2">
      <c r="A23" s="281" t="s">
        <v>290</v>
      </c>
      <c r="B23" s="282" t="s">
        <v>509</v>
      </c>
      <c r="C23" s="274">
        <v>211</v>
      </c>
      <c r="D23" s="274">
        <v>200</v>
      </c>
      <c r="E23" s="275">
        <v>50</v>
      </c>
      <c r="F23" s="470">
        <v>52</v>
      </c>
      <c r="G23" s="104">
        <f t="shared" si="28"/>
        <v>2</v>
      </c>
      <c r="H23" s="100">
        <f t="shared" si="29"/>
        <v>0.04</v>
      </c>
      <c r="I23" s="258"/>
      <c r="J23" s="275">
        <v>100</v>
      </c>
      <c r="K23" s="275"/>
      <c r="L23" s="104">
        <f t="shared" si="30"/>
        <v>-100</v>
      </c>
      <c r="M23" s="100">
        <f t="shared" si="31"/>
        <v>-1</v>
      </c>
      <c r="N23" s="258"/>
      <c r="O23" s="275">
        <v>150</v>
      </c>
      <c r="P23" s="275"/>
      <c r="Q23" s="104">
        <f t="shared" si="32"/>
        <v>-150</v>
      </c>
      <c r="R23" s="100">
        <f t="shared" si="33"/>
        <v>-1</v>
      </c>
      <c r="S23" s="258"/>
      <c r="T23" s="275">
        <v>200</v>
      </c>
      <c r="U23" s="275"/>
      <c r="V23" s="104">
        <f t="shared" si="34"/>
        <v>-200</v>
      </c>
      <c r="W23" s="100">
        <f t="shared" si="35"/>
        <v>-1</v>
      </c>
      <c r="X23" s="258"/>
    </row>
    <row r="24" spans="1:24" ht="18" customHeight="1" x14ac:dyDescent="0.2">
      <c r="A24" s="281" t="s">
        <v>380</v>
      </c>
      <c r="B24" s="280" t="s">
        <v>510</v>
      </c>
      <c r="C24" s="446">
        <f>C20-C22</f>
        <v>3048</v>
      </c>
      <c r="D24" s="446">
        <f>D20-D22</f>
        <v>3108</v>
      </c>
      <c r="E24" s="446">
        <f>E20-E22</f>
        <v>772</v>
      </c>
      <c r="F24" s="480">
        <f>F20-F22</f>
        <v>789</v>
      </c>
      <c r="G24" s="104">
        <f t="shared" si="28"/>
        <v>17</v>
      </c>
      <c r="H24" s="100">
        <f t="shared" si="29"/>
        <v>2.2020725388601035E-2</v>
      </c>
      <c r="I24" s="258"/>
      <c r="J24" s="446">
        <f>J20-J22</f>
        <v>1544</v>
      </c>
      <c r="K24" s="275"/>
      <c r="L24" s="104">
        <f t="shared" si="30"/>
        <v>-1544</v>
      </c>
      <c r="M24" s="100">
        <f t="shared" si="31"/>
        <v>-1</v>
      </c>
      <c r="N24" s="258"/>
      <c r="O24" s="446">
        <f>O20-O22</f>
        <v>2316</v>
      </c>
      <c r="P24" s="275"/>
      <c r="Q24" s="104">
        <f t="shared" si="32"/>
        <v>-2316</v>
      </c>
      <c r="R24" s="100">
        <f t="shared" si="33"/>
        <v>-1</v>
      </c>
      <c r="S24" s="258"/>
      <c r="T24" s="446">
        <f>T20-T22</f>
        <v>3108</v>
      </c>
      <c r="U24" s="275"/>
      <c r="V24" s="104">
        <f t="shared" si="34"/>
        <v>-3108</v>
      </c>
      <c r="W24" s="100">
        <f t="shared" si="35"/>
        <v>-1</v>
      </c>
      <c r="X24" s="258"/>
    </row>
    <row r="25" spans="1:24" ht="18" customHeight="1" x14ac:dyDescent="0.2">
      <c r="A25" s="281" t="s">
        <v>381</v>
      </c>
      <c r="B25" s="282" t="s">
        <v>511</v>
      </c>
      <c r="C25" s="274">
        <v>3037</v>
      </c>
      <c r="D25" s="274">
        <f>3108-20</f>
        <v>3088</v>
      </c>
      <c r="E25" s="275">
        <v>772</v>
      </c>
      <c r="F25" s="470">
        <v>789</v>
      </c>
      <c r="G25" s="104">
        <f t="shared" si="28"/>
        <v>17</v>
      </c>
      <c r="H25" s="100">
        <f t="shared" si="29"/>
        <v>2.2020725388601035E-2</v>
      </c>
      <c r="I25" s="258"/>
      <c r="J25" s="275">
        <v>1544</v>
      </c>
      <c r="K25" s="275"/>
      <c r="L25" s="104">
        <f t="shared" si="30"/>
        <v>-1544</v>
      </c>
      <c r="M25" s="100">
        <f t="shared" si="31"/>
        <v>-1</v>
      </c>
      <c r="N25" s="258"/>
      <c r="O25" s="275">
        <v>2316</v>
      </c>
      <c r="P25" s="275"/>
      <c r="Q25" s="104">
        <f t="shared" si="32"/>
        <v>-2316</v>
      </c>
      <c r="R25" s="100">
        <f t="shared" si="33"/>
        <v>-1</v>
      </c>
      <c r="S25" s="258"/>
      <c r="T25" s="275">
        <f>D25</f>
        <v>3088</v>
      </c>
      <c r="U25" s="275"/>
      <c r="V25" s="104">
        <f t="shared" si="34"/>
        <v>-3088</v>
      </c>
      <c r="W25" s="100">
        <f t="shared" si="35"/>
        <v>-1</v>
      </c>
      <c r="X25" s="258"/>
    </row>
    <row r="26" spans="1:24" ht="54" customHeight="1" x14ac:dyDescent="0.2">
      <c r="A26" s="272" t="s">
        <v>235</v>
      </c>
      <c r="B26" s="263" t="s">
        <v>512</v>
      </c>
      <c r="C26" s="283">
        <v>773</v>
      </c>
      <c r="D26" s="283">
        <v>735</v>
      </c>
      <c r="E26" s="275">
        <v>70</v>
      </c>
      <c r="F26" s="470">
        <v>70</v>
      </c>
      <c r="G26" s="104">
        <f t="shared" si="28"/>
        <v>0</v>
      </c>
      <c r="H26" s="100">
        <f t="shared" si="29"/>
        <v>0</v>
      </c>
      <c r="I26" s="258"/>
      <c r="J26" s="275">
        <v>230</v>
      </c>
      <c r="K26" s="275"/>
      <c r="L26" s="104">
        <f t="shared" si="30"/>
        <v>-230</v>
      </c>
      <c r="M26" s="100">
        <f t="shared" si="31"/>
        <v>-1</v>
      </c>
      <c r="N26" s="258"/>
      <c r="O26" s="275">
        <v>470</v>
      </c>
      <c r="P26" s="275"/>
      <c r="Q26" s="104">
        <f t="shared" si="32"/>
        <v>-470</v>
      </c>
      <c r="R26" s="100">
        <f t="shared" si="33"/>
        <v>-1</v>
      </c>
      <c r="S26" s="258"/>
      <c r="T26" s="275">
        <f>D26</f>
        <v>735</v>
      </c>
      <c r="U26" s="275"/>
      <c r="V26" s="104">
        <f t="shared" si="34"/>
        <v>-735</v>
      </c>
      <c r="W26" s="100">
        <f t="shared" si="35"/>
        <v>-1</v>
      </c>
      <c r="X26" s="258"/>
    </row>
    <row r="27" spans="1:24" ht="56.45" customHeight="1" x14ac:dyDescent="0.2">
      <c r="A27" s="272" t="s">
        <v>234</v>
      </c>
      <c r="B27" s="263" t="s">
        <v>513</v>
      </c>
      <c r="C27" s="283">
        <v>48</v>
      </c>
      <c r="D27" s="283">
        <v>48</v>
      </c>
      <c r="E27" s="275">
        <v>12</v>
      </c>
      <c r="F27" s="470">
        <v>7</v>
      </c>
      <c r="G27" s="104">
        <f t="shared" si="28"/>
        <v>-5</v>
      </c>
      <c r="H27" s="100">
        <f t="shared" si="29"/>
        <v>-0.41666666666666669</v>
      </c>
      <c r="I27" s="258"/>
      <c r="J27" s="275">
        <v>25</v>
      </c>
      <c r="K27" s="275"/>
      <c r="L27" s="104">
        <f t="shared" si="30"/>
        <v>-25</v>
      </c>
      <c r="M27" s="100">
        <f t="shared" si="31"/>
        <v>-1</v>
      </c>
      <c r="N27" s="258"/>
      <c r="O27" s="275">
        <v>38</v>
      </c>
      <c r="P27" s="275"/>
      <c r="Q27" s="104">
        <f t="shared" si="32"/>
        <v>-38</v>
      </c>
      <c r="R27" s="100">
        <f t="shared" si="33"/>
        <v>-1</v>
      </c>
      <c r="S27" s="258"/>
      <c r="T27" s="275">
        <f>D27</f>
        <v>48</v>
      </c>
      <c r="U27" s="275"/>
      <c r="V27" s="104">
        <f t="shared" si="34"/>
        <v>-48</v>
      </c>
      <c r="W27" s="100">
        <f t="shared" si="35"/>
        <v>-1</v>
      </c>
      <c r="X27" s="258"/>
    </row>
    <row r="28" spans="1:24" ht="18" customHeight="1" x14ac:dyDescent="0.2">
      <c r="A28" s="272" t="s">
        <v>233</v>
      </c>
      <c r="B28" s="263" t="s">
        <v>278</v>
      </c>
      <c r="C28" s="283">
        <v>0</v>
      </c>
      <c r="D28" s="283">
        <v>0</v>
      </c>
      <c r="E28" s="275">
        <v>0</v>
      </c>
      <c r="F28" s="470">
        <v>0</v>
      </c>
      <c r="G28" s="104">
        <f t="shared" si="28"/>
        <v>0</v>
      </c>
      <c r="H28" s="100" t="str">
        <f t="shared" si="29"/>
        <v>-</v>
      </c>
      <c r="I28" s="258"/>
      <c r="J28" s="275">
        <v>0</v>
      </c>
      <c r="K28" s="275"/>
      <c r="L28" s="104">
        <f t="shared" si="30"/>
        <v>0</v>
      </c>
      <c r="M28" s="100" t="str">
        <f t="shared" si="31"/>
        <v>-</v>
      </c>
      <c r="N28" s="258"/>
      <c r="O28" s="275">
        <v>0</v>
      </c>
      <c r="P28" s="275"/>
      <c r="Q28" s="104">
        <f t="shared" si="32"/>
        <v>0</v>
      </c>
      <c r="R28" s="100" t="str">
        <f t="shared" si="33"/>
        <v>-</v>
      </c>
      <c r="S28" s="258"/>
      <c r="T28" s="275"/>
      <c r="U28" s="275"/>
      <c r="V28" s="104">
        <f t="shared" si="34"/>
        <v>0</v>
      </c>
      <c r="W28" s="100" t="str">
        <f t="shared" si="35"/>
        <v>-</v>
      </c>
      <c r="X28" s="258"/>
    </row>
    <row r="29" spans="1:24" ht="18" customHeight="1" x14ac:dyDescent="0.2">
      <c r="A29" s="278" t="s">
        <v>232</v>
      </c>
      <c r="B29" s="17" t="s">
        <v>279</v>
      </c>
      <c r="C29" s="242">
        <v>23</v>
      </c>
      <c r="D29" s="242">
        <v>23</v>
      </c>
      <c r="E29" s="21">
        <v>23</v>
      </c>
      <c r="F29" s="472">
        <v>23</v>
      </c>
      <c r="G29" s="125">
        <f t="shared" si="28"/>
        <v>0</v>
      </c>
      <c r="H29" s="115">
        <f t="shared" si="29"/>
        <v>0</v>
      </c>
      <c r="I29" s="279"/>
      <c r="J29" s="21">
        <v>23</v>
      </c>
      <c r="K29" s="21"/>
      <c r="L29" s="125">
        <f t="shared" si="30"/>
        <v>-23</v>
      </c>
      <c r="M29" s="115">
        <f t="shared" si="31"/>
        <v>-1</v>
      </c>
      <c r="N29" s="279"/>
      <c r="O29" s="21">
        <v>23</v>
      </c>
      <c r="P29" s="21"/>
      <c r="Q29" s="125">
        <f t="shared" si="32"/>
        <v>-23</v>
      </c>
      <c r="R29" s="115">
        <f t="shared" si="33"/>
        <v>-1</v>
      </c>
      <c r="S29" s="279"/>
      <c r="T29" s="21">
        <v>23</v>
      </c>
      <c r="U29" s="21"/>
      <c r="V29" s="125">
        <f t="shared" si="34"/>
        <v>-23</v>
      </c>
      <c r="W29" s="115">
        <f t="shared" si="35"/>
        <v>-1</v>
      </c>
      <c r="X29" s="279"/>
    </row>
    <row r="30" spans="1:24" ht="18" customHeight="1" x14ac:dyDescent="0.2">
      <c r="A30" s="278" t="s">
        <v>231</v>
      </c>
      <c r="B30" s="17" t="s">
        <v>403</v>
      </c>
      <c r="C30" s="242">
        <v>74</v>
      </c>
      <c r="D30" s="242">
        <v>77</v>
      </c>
      <c r="E30" s="21">
        <v>77</v>
      </c>
      <c r="F30" s="472">
        <v>78</v>
      </c>
      <c r="G30" s="125">
        <f t="shared" si="28"/>
        <v>1</v>
      </c>
      <c r="H30" s="115">
        <f t="shared" si="29"/>
        <v>1.2987012987012988E-2</v>
      </c>
      <c r="I30" s="279"/>
      <c r="J30" s="21">
        <v>77</v>
      </c>
      <c r="K30" s="21"/>
      <c r="L30" s="125">
        <f t="shared" si="30"/>
        <v>-77</v>
      </c>
      <c r="M30" s="115">
        <f t="shared" si="31"/>
        <v>-1</v>
      </c>
      <c r="N30" s="279"/>
      <c r="O30" s="21">
        <v>77</v>
      </c>
      <c r="P30" s="21"/>
      <c r="Q30" s="125">
        <f t="shared" si="32"/>
        <v>-77</v>
      </c>
      <c r="R30" s="115">
        <f t="shared" si="33"/>
        <v>-1</v>
      </c>
      <c r="S30" s="279"/>
      <c r="T30" s="21">
        <v>77</v>
      </c>
      <c r="U30" s="21"/>
      <c r="V30" s="125">
        <f t="shared" si="34"/>
        <v>-77</v>
      </c>
      <c r="W30" s="115">
        <f t="shared" si="35"/>
        <v>-1</v>
      </c>
      <c r="X30" s="279"/>
    </row>
    <row r="31" spans="1:24" ht="18" customHeight="1" x14ac:dyDescent="0.2">
      <c r="A31" s="387" t="s">
        <v>230</v>
      </c>
      <c r="B31" s="388" t="s">
        <v>382</v>
      </c>
      <c r="C31" s="389" t="s">
        <v>183</v>
      </c>
      <c r="D31" s="389" t="s">
        <v>183</v>
      </c>
      <c r="E31" s="382" t="s">
        <v>183</v>
      </c>
      <c r="F31" s="463" t="s">
        <v>183</v>
      </c>
      <c r="G31" s="383" t="s">
        <v>183</v>
      </c>
      <c r="H31" s="384" t="s">
        <v>183</v>
      </c>
      <c r="I31" s="384" t="s">
        <v>183</v>
      </c>
      <c r="J31" s="382" t="s">
        <v>183</v>
      </c>
      <c r="K31" s="383" t="s">
        <v>183</v>
      </c>
      <c r="L31" s="383" t="s">
        <v>183</v>
      </c>
      <c r="M31" s="384" t="s">
        <v>183</v>
      </c>
      <c r="N31" s="384" t="s">
        <v>183</v>
      </c>
      <c r="O31" s="382" t="s">
        <v>183</v>
      </c>
      <c r="P31" s="383" t="s">
        <v>183</v>
      </c>
      <c r="Q31" s="383" t="s">
        <v>183</v>
      </c>
      <c r="R31" s="384" t="s">
        <v>183</v>
      </c>
      <c r="S31" s="384" t="s">
        <v>183</v>
      </c>
      <c r="T31" s="382" t="s">
        <v>183</v>
      </c>
      <c r="U31" s="383" t="s">
        <v>183</v>
      </c>
      <c r="V31" s="383" t="s">
        <v>183</v>
      </c>
      <c r="W31" s="384" t="s">
        <v>183</v>
      </c>
      <c r="X31" s="384" t="s">
        <v>183</v>
      </c>
    </row>
    <row r="32" spans="1:24" ht="18" customHeight="1" x14ac:dyDescent="0.2">
      <c r="A32" s="278" t="s">
        <v>228</v>
      </c>
      <c r="B32" s="17" t="s">
        <v>383</v>
      </c>
      <c r="C32" s="90">
        <f>C33+C35</f>
        <v>54362</v>
      </c>
      <c r="D32" s="90">
        <f t="shared" ref="D32:F32" si="36">D33+D35</f>
        <v>53920</v>
      </c>
      <c r="E32" s="118">
        <f t="shared" si="36"/>
        <v>13480</v>
      </c>
      <c r="F32" s="473">
        <f t="shared" si="36"/>
        <v>13390</v>
      </c>
      <c r="G32" s="99">
        <f t="shared" ref="G32:G40" si="37">F32-E32</f>
        <v>-90</v>
      </c>
      <c r="H32" s="100">
        <f t="shared" ref="H32:H40" si="38">IFERROR(G32/ABS(E32), "-")</f>
        <v>-6.6765578635014835E-3</v>
      </c>
      <c r="I32" s="258"/>
      <c r="J32" s="118">
        <f t="shared" ref="J32:K32" si="39">J33+J35</f>
        <v>27160</v>
      </c>
      <c r="K32" s="118">
        <f t="shared" si="39"/>
        <v>0</v>
      </c>
      <c r="L32" s="99">
        <f t="shared" ref="L32:L40" si="40">K32-J32</f>
        <v>-27160</v>
      </c>
      <c r="M32" s="100">
        <f t="shared" ref="M32:M40" si="41">IFERROR(L32/ABS(J32), "-")</f>
        <v>-1</v>
      </c>
      <c r="N32" s="258"/>
      <c r="O32" s="118">
        <f t="shared" ref="O32:P32" si="42">O33+O35</f>
        <v>40626</v>
      </c>
      <c r="P32" s="118">
        <f t="shared" si="42"/>
        <v>0</v>
      </c>
      <c r="Q32" s="99">
        <f t="shared" ref="Q32:Q40" si="43">P32-O32</f>
        <v>-40626</v>
      </c>
      <c r="R32" s="100">
        <f t="shared" ref="R32:R40" si="44">IFERROR(Q32/ABS(O32), "-")</f>
        <v>-1</v>
      </c>
      <c r="S32" s="258"/>
      <c r="T32" s="118">
        <f t="shared" ref="T32:U32" si="45">T33+T35</f>
        <v>53920</v>
      </c>
      <c r="U32" s="118">
        <f t="shared" si="45"/>
        <v>0</v>
      </c>
      <c r="V32" s="99">
        <f t="shared" ref="V32:V40" si="46">U32-T32</f>
        <v>-53920</v>
      </c>
      <c r="W32" s="100">
        <f t="shared" ref="W32:W40" si="47">IFERROR(V32/ABS(T32), "-")</f>
        <v>-1</v>
      </c>
      <c r="X32" s="258"/>
    </row>
    <row r="33" spans="1:24" ht="18" customHeight="1" x14ac:dyDescent="0.2">
      <c r="A33" s="272" t="s">
        <v>280</v>
      </c>
      <c r="B33" s="60" t="s">
        <v>384</v>
      </c>
      <c r="C33" s="277">
        <v>49848</v>
      </c>
      <c r="D33" s="277">
        <v>49600</v>
      </c>
      <c r="E33" s="275">
        <v>12400</v>
      </c>
      <c r="F33" s="470">
        <v>12196</v>
      </c>
      <c r="G33" s="104">
        <f t="shared" si="37"/>
        <v>-204</v>
      </c>
      <c r="H33" s="100">
        <f t="shared" si="38"/>
        <v>-1.6451612903225808E-2</v>
      </c>
      <c r="I33" s="258"/>
      <c r="J33" s="275">
        <v>25000</v>
      </c>
      <c r="K33" s="275"/>
      <c r="L33" s="104">
        <f t="shared" si="40"/>
        <v>-25000</v>
      </c>
      <c r="M33" s="100">
        <f t="shared" si="41"/>
        <v>-1</v>
      </c>
      <c r="N33" s="258"/>
      <c r="O33" s="275">
        <v>37386</v>
      </c>
      <c r="P33" s="275"/>
      <c r="Q33" s="104">
        <f t="shared" si="43"/>
        <v>-37386</v>
      </c>
      <c r="R33" s="100">
        <f t="shared" si="44"/>
        <v>-1</v>
      </c>
      <c r="S33" s="258"/>
      <c r="T33" s="275">
        <f>D33</f>
        <v>49600</v>
      </c>
      <c r="U33" s="275"/>
      <c r="V33" s="104">
        <f t="shared" si="46"/>
        <v>-49600</v>
      </c>
      <c r="W33" s="100">
        <f t="shared" si="47"/>
        <v>-1</v>
      </c>
      <c r="X33" s="258"/>
    </row>
    <row r="34" spans="1:24" ht="18" customHeight="1" x14ac:dyDescent="0.2">
      <c r="A34" s="272" t="s">
        <v>281</v>
      </c>
      <c r="B34" s="285" t="s">
        <v>229</v>
      </c>
      <c r="C34" s="277">
        <v>2583</v>
      </c>
      <c r="D34" s="277">
        <v>3120</v>
      </c>
      <c r="E34" s="275">
        <v>780</v>
      </c>
      <c r="F34" s="470">
        <v>794</v>
      </c>
      <c r="G34" s="104">
        <f t="shared" si="37"/>
        <v>14</v>
      </c>
      <c r="H34" s="100">
        <f t="shared" si="38"/>
        <v>1.7948717948717947E-2</v>
      </c>
      <c r="I34" s="258"/>
      <c r="J34" s="275">
        <v>1560</v>
      </c>
      <c r="K34" s="275"/>
      <c r="L34" s="104">
        <f t="shared" si="40"/>
        <v>-1560</v>
      </c>
      <c r="M34" s="100">
        <f t="shared" si="41"/>
        <v>-1</v>
      </c>
      <c r="N34" s="258"/>
      <c r="O34" s="275">
        <v>2340</v>
      </c>
      <c r="P34" s="275"/>
      <c r="Q34" s="104">
        <f t="shared" si="43"/>
        <v>-2340</v>
      </c>
      <c r="R34" s="100">
        <f t="shared" si="44"/>
        <v>-1</v>
      </c>
      <c r="S34" s="258"/>
      <c r="T34" s="275">
        <f>D34</f>
        <v>3120</v>
      </c>
      <c r="U34" s="275"/>
      <c r="V34" s="104">
        <f t="shared" si="46"/>
        <v>-3120</v>
      </c>
      <c r="W34" s="100">
        <f t="shared" si="47"/>
        <v>-1</v>
      </c>
      <c r="X34" s="258"/>
    </row>
    <row r="35" spans="1:24" ht="18" customHeight="1" x14ac:dyDescent="0.2">
      <c r="A35" s="272" t="s">
        <v>282</v>
      </c>
      <c r="B35" s="60" t="s">
        <v>385</v>
      </c>
      <c r="C35" s="277">
        <v>4514</v>
      </c>
      <c r="D35" s="277">
        <v>4320</v>
      </c>
      <c r="E35" s="275">
        <v>1080</v>
      </c>
      <c r="F35" s="470">
        <v>1194</v>
      </c>
      <c r="G35" s="104">
        <f t="shared" si="37"/>
        <v>114</v>
      </c>
      <c r="H35" s="100">
        <f t="shared" si="38"/>
        <v>0.10555555555555556</v>
      </c>
      <c r="I35" s="258"/>
      <c r="J35" s="275">
        <v>2160</v>
      </c>
      <c r="K35" s="275"/>
      <c r="L35" s="104">
        <f t="shared" si="40"/>
        <v>-2160</v>
      </c>
      <c r="M35" s="100">
        <f t="shared" si="41"/>
        <v>-1</v>
      </c>
      <c r="N35" s="258"/>
      <c r="O35" s="275">
        <v>3240</v>
      </c>
      <c r="P35" s="275"/>
      <c r="Q35" s="104">
        <f t="shared" si="43"/>
        <v>-3240</v>
      </c>
      <c r="R35" s="100">
        <f t="shared" si="44"/>
        <v>-1</v>
      </c>
      <c r="S35" s="258"/>
      <c r="T35" s="275">
        <f>D35</f>
        <v>4320</v>
      </c>
      <c r="U35" s="275"/>
      <c r="V35" s="104">
        <f t="shared" si="46"/>
        <v>-4320</v>
      </c>
      <c r="W35" s="100">
        <f t="shared" si="47"/>
        <v>-1</v>
      </c>
      <c r="X35" s="258"/>
    </row>
    <row r="36" spans="1:24" ht="18" customHeight="1" x14ac:dyDescent="0.2">
      <c r="A36" s="272" t="s">
        <v>283</v>
      </c>
      <c r="B36" s="285" t="s">
        <v>229</v>
      </c>
      <c r="C36" s="277">
        <v>0</v>
      </c>
      <c r="D36" s="277"/>
      <c r="E36" s="275"/>
      <c r="F36" s="470"/>
      <c r="G36" s="104">
        <f t="shared" si="37"/>
        <v>0</v>
      </c>
      <c r="H36" s="100" t="str">
        <f t="shared" si="38"/>
        <v>-</v>
      </c>
      <c r="I36" s="258"/>
      <c r="J36" s="275"/>
      <c r="K36" s="275"/>
      <c r="L36" s="104">
        <f t="shared" si="40"/>
        <v>0</v>
      </c>
      <c r="M36" s="100" t="str">
        <f t="shared" si="41"/>
        <v>-</v>
      </c>
      <c r="N36" s="258"/>
      <c r="O36" s="275"/>
      <c r="P36" s="275"/>
      <c r="Q36" s="104">
        <f t="shared" si="43"/>
        <v>0</v>
      </c>
      <c r="R36" s="100" t="str">
        <f t="shared" si="44"/>
        <v>-</v>
      </c>
      <c r="S36" s="258"/>
      <c r="T36" s="275"/>
      <c r="U36" s="275"/>
      <c r="V36" s="104">
        <f t="shared" si="46"/>
        <v>0</v>
      </c>
      <c r="W36" s="100" t="str">
        <f t="shared" si="47"/>
        <v>-</v>
      </c>
      <c r="X36" s="258"/>
    </row>
    <row r="37" spans="1:24" ht="18" customHeight="1" x14ac:dyDescent="0.2">
      <c r="A37" s="272" t="s">
        <v>285</v>
      </c>
      <c r="B37" s="18" t="s">
        <v>288</v>
      </c>
      <c r="C37" s="277">
        <v>17</v>
      </c>
      <c r="D37" s="277">
        <v>17</v>
      </c>
      <c r="E37" s="275">
        <v>17</v>
      </c>
      <c r="F37" s="470">
        <v>17</v>
      </c>
      <c r="G37" s="104">
        <f t="shared" si="37"/>
        <v>0</v>
      </c>
      <c r="H37" s="100">
        <f t="shared" si="38"/>
        <v>0</v>
      </c>
      <c r="I37" s="258"/>
      <c r="J37" s="275">
        <v>17</v>
      </c>
      <c r="K37" s="275"/>
      <c r="L37" s="104">
        <f t="shared" si="40"/>
        <v>-17</v>
      </c>
      <c r="M37" s="100">
        <f t="shared" si="41"/>
        <v>-1</v>
      </c>
      <c r="N37" s="258"/>
      <c r="O37" s="275">
        <v>17</v>
      </c>
      <c r="P37" s="275"/>
      <c r="Q37" s="104">
        <f t="shared" si="43"/>
        <v>-17</v>
      </c>
      <c r="R37" s="100">
        <f t="shared" si="44"/>
        <v>-1</v>
      </c>
      <c r="S37" s="258"/>
      <c r="T37" s="275">
        <v>17</v>
      </c>
      <c r="U37" s="275"/>
      <c r="V37" s="104">
        <f t="shared" si="46"/>
        <v>-17</v>
      </c>
      <c r="W37" s="100">
        <f t="shared" si="47"/>
        <v>-1</v>
      </c>
      <c r="X37" s="258"/>
    </row>
    <row r="38" spans="1:24" ht="18" customHeight="1" x14ac:dyDescent="0.2">
      <c r="A38" s="272" t="s">
        <v>286</v>
      </c>
      <c r="B38" s="18" t="s">
        <v>404</v>
      </c>
      <c r="C38" s="447">
        <f>C34/253/C37*100</f>
        <v>60.055800976517084</v>
      </c>
      <c r="D38" s="447">
        <f>D34/251/D37*100</f>
        <v>73.11928755565971</v>
      </c>
      <c r="E38" s="447">
        <f>E34/65/E37*100</f>
        <v>70.588235294117652</v>
      </c>
      <c r="F38" s="447">
        <f>F34/65/F37*100</f>
        <v>71.855203619909503</v>
      </c>
      <c r="G38" s="104">
        <f t="shared" si="37"/>
        <v>1.2669683257918507</v>
      </c>
      <c r="H38" s="100">
        <f t="shared" si="38"/>
        <v>1.7948717948717885E-2</v>
      </c>
      <c r="I38" s="258"/>
      <c r="J38" s="447">
        <f>J34/125/J37*100</f>
        <v>73.411764705882348</v>
      </c>
      <c r="K38" s="275"/>
      <c r="L38" s="104">
        <f t="shared" si="40"/>
        <v>-73.411764705882348</v>
      </c>
      <c r="M38" s="100">
        <f t="shared" si="41"/>
        <v>-1</v>
      </c>
      <c r="N38" s="258"/>
      <c r="O38" s="447">
        <f>O34/189/O37*100</f>
        <v>72.829131652661076</v>
      </c>
      <c r="P38" s="275"/>
      <c r="Q38" s="104">
        <f t="shared" si="43"/>
        <v>-72.829131652661076</v>
      </c>
      <c r="R38" s="100">
        <f t="shared" si="44"/>
        <v>-1</v>
      </c>
      <c r="S38" s="258"/>
      <c r="T38" s="447">
        <f>T34/251/T37*100</f>
        <v>73.11928755565971</v>
      </c>
      <c r="U38" s="275"/>
      <c r="V38" s="104">
        <f t="shared" si="46"/>
        <v>-73.11928755565971</v>
      </c>
      <c r="W38" s="100">
        <f t="shared" si="47"/>
        <v>-1</v>
      </c>
      <c r="X38" s="258"/>
    </row>
    <row r="39" spans="1:24" ht="18" customHeight="1" x14ac:dyDescent="0.2">
      <c r="A39" s="272" t="s">
        <v>284</v>
      </c>
      <c r="B39" s="17" t="s">
        <v>514</v>
      </c>
      <c r="C39" s="242">
        <v>0</v>
      </c>
      <c r="D39" s="242"/>
      <c r="E39" s="275"/>
      <c r="F39" s="470"/>
      <c r="G39" s="104">
        <f t="shared" si="37"/>
        <v>0</v>
      </c>
      <c r="H39" s="100" t="str">
        <f t="shared" si="38"/>
        <v>-</v>
      </c>
      <c r="I39" s="258"/>
      <c r="J39" s="275"/>
      <c r="K39" s="275"/>
      <c r="L39" s="104">
        <f t="shared" si="40"/>
        <v>0</v>
      </c>
      <c r="M39" s="100" t="str">
        <f t="shared" si="41"/>
        <v>-</v>
      </c>
      <c r="N39" s="258"/>
      <c r="O39" s="275"/>
      <c r="P39" s="275"/>
      <c r="Q39" s="104">
        <f t="shared" si="43"/>
        <v>0</v>
      </c>
      <c r="R39" s="100" t="str">
        <f t="shared" si="44"/>
        <v>-</v>
      </c>
      <c r="S39" s="258"/>
      <c r="T39" s="275"/>
      <c r="U39" s="275"/>
      <c r="V39" s="104">
        <f t="shared" si="46"/>
        <v>0</v>
      </c>
      <c r="W39" s="100" t="str">
        <f t="shared" si="47"/>
        <v>-</v>
      </c>
      <c r="X39" s="258"/>
    </row>
    <row r="40" spans="1:24" ht="18" customHeight="1" x14ac:dyDescent="0.2">
      <c r="A40" s="286" t="s">
        <v>298</v>
      </c>
      <c r="B40" s="287" t="s">
        <v>300</v>
      </c>
      <c r="C40" s="288">
        <v>0</v>
      </c>
      <c r="D40" s="288"/>
      <c r="E40" s="289"/>
      <c r="F40" s="470"/>
      <c r="G40" s="104">
        <f t="shared" si="37"/>
        <v>0</v>
      </c>
      <c r="H40" s="290" t="str">
        <f t="shared" si="38"/>
        <v>-</v>
      </c>
      <c r="I40" s="258"/>
      <c r="J40" s="289"/>
      <c r="K40" s="275"/>
      <c r="L40" s="104">
        <f t="shared" si="40"/>
        <v>0</v>
      </c>
      <c r="M40" s="290" t="str">
        <f t="shared" si="41"/>
        <v>-</v>
      </c>
      <c r="N40" s="258"/>
      <c r="O40" s="289"/>
      <c r="P40" s="275"/>
      <c r="Q40" s="104">
        <f t="shared" si="43"/>
        <v>0</v>
      </c>
      <c r="R40" s="290" t="str">
        <f t="shared" si="44"/>
        <v>-</v>
      </c>
      <c r="S40" s="258"/>
      <c r="T40" s="289"/>
      <c r="U40" s="275"/>
      <c r="V40" s="104">
        <f t="shared" si="46"/>
        <v>0</v>
      </c>
      <c r="W40" s="290" t="str">
        <f t="shared" si="47"/>
        <v>-</v>
      </c>
      <c r="X40" s="258"/>
    </row>
    <row r="41" spans="1:24" ht="18" customHeight="1" x14ac:dyDescent="0.2">
      <c r="A41" s="379" t="s">
        <v>227</v>
      </c>
      <c r="B41" s="390" t="s">
        <v>386</v>
      </c>
      <c r="C41" s="391" t="s">
        <v>183</v>
      </c>
      <c r="D41" s="391" t="s">
        <v>183</v>
      </c>
      <c r="E41" s="382" t="s">
        <v>183</v>
      </c>
      <c r="F41" s="463" t="s">
        <v>183</v>
      </c>
      <c r="G41" s="383" t="s">
        <v>183</v>
      </c>
      <c r="H41" s="384" t="s">
        <v>183</v>
      </c>
      <c r="I41" s="384" t="s">
        <v>183</v>
      </c>
      <c r="J41" s="382" t="s">
        <v>183</v>
      </c>
      <c r="K41" s="383" t="s">
        <v>183</v>
      </c>
      <c r="L41" s="383" t="s">
        <v>183</v>
      </c>
      <c r="M41" s="384" t="s">
        <v>183</v>
      </c>
      <c r="N41" s="384" t="s">
        <v>183</v>
      </c>
      <c r="O41" s="382" t="s">
        <v>183</v>
      </c>
      <c r="P41" s="383" t="s">
        <v>183</v>
      </c>
      <c r="Q41" s="383" t="s">
        <v>183</v>
      </c>
      <c r="R41" s="384" t="s">
        <v>183</v>
      </c>
      <c r="S41" s="384" t="s">
        <v>183</v>
      </c>
      <c r="T41" s="382" t="s">
        <v>183</v>
      </c>
      <c r="U41" s="383" t="s">
        <v>183</v>
      </c>
      <c r="V41" s="383" t="s">
        <v>183</v>
      </c>
      <c r="W41" s="384" t="s">
        <v>183</v>
      </c>
      <c r="X41" s="384" t="s">
        <v>183</v>
      </c>
    </row>
    <row r="42" spans="1:24" ht="18" customHeight="1" x14ac:dyDescent="0.2">
      <c r="A42" s="255" t="s">
        <v>226</v>
      </c>
      <c r="B42" s="291" t="s">
        <v>219</v>
      </c>
      <c r="C42" s="167">
        <v>2933</v>
      </c>
      <c r="D42" s="167">
        <v>3650</v>
      </c>
      <c r="E42" s="103">
        <v>900</v>
      </c>
      <c r="F42" s="466">
        <v>924</v>
      </c>
      <c r="G42" s="104">
        <f t="shared" ref="G42:G46" si="48">F42-E42</f>
        <v>24</v>
      </c>
      <c r="H42" s="100">
        <f t="shared" ref="H42:H46" si="49">IFERROR(G42/ABS(E42), "-")</f>
        <v>2.6666666666666668E-2</v>
      </c>
      <c r="I42" s="258"/>
      <c r="J42" s="103">
        <v>1810</v>
      </c>
      <c r="K42" s="103"/>
      <c r="L42" s="104">
        <f t="shared" ref="L42:L46" si="50">K42-J42</f>
        <v>-1810</v>
      </c>
      <c r="M42" s="100">
        <f t="shared" ref="M42:M46" si="51">IFERROR(L42/ABS(J42), "-")</f>
        <v>-1</v>
      </c>
      <c r="N42" s="258"/>
      <c r="O42" s="103">
        <v>2730</v>
      </c>
      <c r="P42" s="103"/>
      <c r="Q42" s="104">
        <f t="shared" ref="Q42:Q46" si="52">P42-O42</f>
        <v>-2730</v>
      </c>
      <c r="R42" s="100">
        <f t="shared" ref="R42:R46" si="53">IFERROR(Q42/ABS(O42), "-")</f>
        <v>-1</v>
      </c>
      <c r="S42" s="258"/>
      <c r="T42" s="103">
        <f>D42</f>
        <v>3650</v>
      </c>
      <c r="U42" s="103"/>
      <c r="V42" s="104">
        <f t="shared" ref="V42:V46" si="54">U42-T42</f>
        <v>-3650</v>
      </c>
      <c r="W42" s="100">
        <f t="shared" ref="W42:W46" si="55">IFERROR(V42/ABS(T42), "-")</f>
        <v>-1</v>
      </c>
      <c r="X42" s="258"/>
    </row>
    <row r="43" spans="1:24" ht="18" customHeight="1" x14ac:dyDescent="0.2">
      <c r="A43" s="255" t="s">
        <v>225</v>
      </c>
      <c r="B43" s="291" t="s">
        <v>515</v>
      </c>
      <c r="C43" s="456">
        <v>62.09</v>
      </c>
      <c r="D43" s="456">
        <f>'Budžeta tāme'!D12/'Naturālie rādītāji'!D42</f>
        <v>64.339726027397262</v>
      </c>
      <c r="E43" s="457">
        <f>'Budžeta tāme'!E12/'Naturālie rādītāji'!E42</f>
        <v>65.233333333333334</v>
      </c>
      <c r="F43" s="457">
        <f>'Budžeta tāme'!F12/'Naturālie rādītāji'!F42</f>
        <v>63.754329004329001</v>
      </c>
      <c r="G43" s="458">
        <f t="shared" si="48"/>
        <v>-1.4790043290043329</v>
      </c>
      <c r="H43" s="459">
        <f t="shared" si="49"/>
        <v>-2.2672524205482873E-2</v>
      </c>
      <c r="I43" s="460"/>
      <c r="J43" s="457">
        <f>'Budžeta tāme'!J12/'Naturālie rādītāji'!J42</f>
        <v>64.872928176795583</v>
      </c>
      <c r="K43" s="457"/>
      <c r="L43" s="458">
        <f t="shared" si="50"/>
        <v>-64.872928176795583</v>
      </c>
      <c r="M43" s="459">
        <f t="shared" si="51"/>
        <v>-1</v>
      </c>
      <c r="N43" s="460"/>
      <c r="O43" s="457">
        <f>'Budžeta tāme'!O12/'Naturālie rādītāji'!O42</f>
        <v>64.516483516483518</v>
      </c>
      <c r="P43" s="457"/>
      <c r="Q43" s="458">
        <f t="shared" si="52"/>
        <v>-64.516483516483518</v>
      </c>
      <c r="R43" s="459">
        <f t="shared" si="53"/>
        <v>-1</v>
      </c>
      <c r="S43" s="460"/>
      <c r="T43" s="457">
        <f>'Budžeta tāme'!T12/'Naturālie rādītāji'!T42</f>
        <v>64.339726027397262</v>
      </c>
      <c r="U43" s="103"/>
      <c r="V43" s="104">
        <f t="shared" si="54"/>
        <v>-64.339726027397262</v>
      </c>
      <c r="W43" s="100">
        <f t="shared" si="55"/>
        <v>-1</v>
      </c>
      <c r="X43" s="258"/>
    </row>
    <row r="44" spans="1:24" ht="18" customHeight="1" x14ac:dyDescent="0.2">
      <c r="A44" s="255" t="s">
        <v>224</v>
      </c>
      <c r="B44" s="291" t="s">
        <v>516</v>
      </c>
      <c r="C44" s="456">
        <v>62.09</v>
      </c>
      <c r="D44" s="456">
        <f>D43</f>
        <v>64.339726027397262</v>
      </c>
      <c r="E44" s="457">
        <f>E43</f>
        <v>65.233333333333334</v>
      </c>
      <c r="F44" s="474">
        <f>49499.45/F42</f>
        <v>53.570833333333333</v>
      </c>
      <c r="G44" s="458">
        <f t="shared" si="48"/>
        <v>-11.662500000000001</v>
      </c>
      <c r="H44" s="459">
        <f t="shared" si="49"/>
        <v>-0.17878129790495659</v>
      </c>
      <c r="I44" s="460"/>
      <c r="J44" s="457">
        <f>J43</f>
        <v>64.872928176795583</v>
      </c>
      <c r="K44" s="457"/>
      <c r="L44" s="458">
        <f t="shared" si="50"/>
        <v>-64.872928176795583</v>
      </c>
      <c r="M44" s="459">
        <f t="shared" si="51"/>
        <v>-1</v>
      </c>
      <c r="N44" s="460"/>
      <c r="O44" s="457">
        <f>O43</f>
        <v>64.516483516483518</v>
      </c>
      <c r="P44" s="457"/>
      <c r="Q44" s="458">
        <f t="shared" si="52"/>
        <v>-64.516483516483518</v>
      </c>
      <c r="R44" s="459">
        <f t="shared" si="53"/>
        <v>-1</v>
      </c>
      <c r="S44" s="460"/>
      <c r="T44" s="457">
        <f>T43</f>
        <v>64.339726027397262</v>
      </c>
      <c r="U44" s="103"/>
      <c r="V44" s="104">
        <f t="shared" si="54"/>
        <v>-64.339726027397262</v>
      </c>
      <c r="W44" s="100">
        <f t="shared" si="55"/>
        <v>-1</v>
      </c>
      <c r="X44" s="258"/>
    </row>
    <row r="45" spans="1:24" ht="18" customHeight="1" x14ac:dyDescent="0.2">
      <c r="A45" s="255" t="s">
        <v>223</v>
      </c>
      <c r="B45" s="291" t="s">
        <v>215</v>
      </c>
      <c r="C45" s="167">
        <v>8</v>
      </c>
      <c r="D45" s="167">
        <v>10</v>
      </c>
      <c r="E45" s="103">
        <v>10</v>
      </c>
      <c r="F45" s="466">
        <f>F42/90</f>
        <v>10.266666666666667</v>
      </c>
      <c r="G45" s="104">
        <f t="shared" si="48"/>
        <v>0.2666666666666675</v>
      </c>
      <c r="H45" s="100">
        <f t="shared" si="49"/>
        <v>2.6666666666666748E-2</v>
      </c>
      <c r="I45" s="258"/>
      <c r="J45" s="103">
        <v>10</v>
      </c>
      <c r="K45" s="103"/>
      <c r="L45" s="104">
        <f t="shared" si="50"/>
        <v>-10</v>
      </c>
      <c r="M45" s="100">
        <f t="shared" si="51"/>
        <v>-1</v>
      </c>
      <c r="N45" s="258"/>
      <c r="O45" s="103">
        <v>10</v>
      </c>
      <c r="P45" s="103"/>
      <c r="Q45" s="104">
        <f t="shared" si="52"/>
        <v>-10</v>
      </c>
      <c r="R45" s="100">
        <f t="shared" si="53"/>
        <v>-1</v>
      </c>
      <c r="S45" s="258"/>
      <c r="T45" s="103">
        <v>10</v>
      </c>
      <c r="U45" s="103"/>
      <c r="V45" s="104">
        <f t="shared" si="54"/>
        <v>-10</v>
      </c>
      <c r="W45" s="100">
        <f t="shared" si="55"/>
        <v>-1</v>
      </c>
      <c r="X45" s="258"/>
    </row>
    <row r="46" spans="1:24" ht="18" customHeight="1" x14ac:dyDescent="0.2">
      <c r="A46" s="255" t="s">
        <v>222</v>
      </c>
      <c r="B46" s="291" t="s">
        <v>517</v>
      </c>
      <c r="C46" s="167">
        <v>365</v>
      </c>
      <c r="D46" s="167">
        <v>365</v>
      </c>
      <c r="E46" s="103">
        <v>90</v>
      </c>
      <c r="F46" s="466">
        <v>90</v>
      </c>
      <c r="G46" s="104">
        <f t="shared" si="48"/>
        <v>0</v>
      </c>
      <c r="H46" s="100">
        <f t="shared" si="49"/>
        <v>0</v>
      </c>
      <c r="I46" s="258"/>
      <c r="J46" s="103">
        <v>181</v>
      </c>
      <c r="K46" s="103"/>
      <c r="L46" s="104">
        <f t="shared" si="50"/>
        <v>-181</v>
      </c>
      <c r="M46" s="100">
        <f t="shared" si="51"/>
        <v>-1</v>
      </c>
      <c r="N46" s="258"/>
      <c r="O46" s="103">
        <v>273</v>
      </c>
      <c r="P46" s="103"/>
      <c r="Q46" s="104">
        <f t="shared" si="52"/>
        <v>-273</v>
      </c>
      <c r="R46" s="100">
        <f t="shared" si="53"/>
        <v>-1</v>
      </c>
      <c r="S46" s="258"/>
      <c r="T46" s="103">
        <v>365</v>
      </c>
      <c r="U46" s="103"/>
      <c r="V46" s="104">
        <f t="shared" si="54"/>
        <v>-365</v>
      </c>
      <c r="W46" s="100">
        <f t="shared" si="55"/>
        <v>-1</v>
      </c>
      <c r="X46" s="258"/>
    </row>
    <row r="47" spans="1:24" ht="18" customHeight="1" x14ac:dyDescent="0.2">
      <c r="A47" s="379" t="s">
        <v>221</v>
      </c>
      <c r="B47" s="390" t="s">
        <v>387</v>
      </c>
      <c r="C47" s="391" t="s">
        <v>183</v>
      </c>
      <c r="D47" s="391" t="s">
        <v>183</v>
      </c>
      <c r="E47" s="382" t="s">
        <v>183</v>
      </c>
      <c r="F47" s="463" t="s">
        <v>183</v>
      </c>
      <c r="G47" s="383" t="s">
        <v>183</v>
      </c>
      <c r="H47" s="384" t="s">
        <v>183</v>
      </c>
      <c r="I47" s="384" t="s">
        <v>183</v>
      </c>
      <c r="J47" s="382" t="s">
        <v>183</v>
      </c>
      <c r="K47" s="383" t="s">
        <v>183</v>
      </c>
      <c r="L47" s="383" t="s">
        <v>183</v>
      </c>
      <c r="M47" s="384" t="s">
        <v>183</v>
      </c>
      <c r="N47" s="384" t="s">
        <v>183</v>
      </c>
      <c r="O47" s="382" t="s">
        <v>183</v>
      </c>
      <c r="P47" s="383" t="s">
        <v>183</v>
      </c>
      <c r="Q47" s="383" t="s">
        <v>183</v>
      </c>
      <c r="R47" s="384" t="s">
        <v>183</v>
      </c>
      <c r="S47" s="384" t="s">
        <v>183</v>
      </c>
      <c r="T47" s="382" t="s">
        <v>183</v>
      </c>
      <c r="U47" s="383" t="s">
        <v>183</v>
      </c>
      <c r="V47" s="383" t="s">
        <v>183</v>
      </c>
      <c r="W47" s="384" t="s">
        <v>183</v>
      </c>
      <c r="X47" s="384" t="s">
        <v>183</v>
      </c>
    </row>
    <row r="48" spans="1:24" ht="18" customHeight="1" x14ac:dyDescent="0.2">
      <c r="A48" s="255" t="s">
        <v>220</v>
      </c>
      <c r="B48" s="291" t="s">
        <v>219</v>
      </c>
      <c r="C48" s="167">
        <v>35913</v>
      </c>
      <c r="D48" s="167">
        <v>36135</v>
      </c>
      <c r="E48" s="103">
        <v>8910</v>
      </c>
      <c r="F48" s="466">
        <v>8770</v>
      </c>
      <c r="G48" s="104">
        <f t="shared" ref="G48:G52" si="56">F48-E48</f>
        <v>-140</v>
      </c>
      <c r="H48" s="100">
        <f t="shared" ref="H48:H52" si="57">IFERROR(G48/ABS(E48), "-")</f>
        <v>-1.5712682379349047E-2</v>
      </c>
      <c r="I48" s="258"/>
      <c r="J48" s="103">
        <v>17820</v>
      </c>
      <c r="K48" s="103"/>
      <c r="L48" s="104">
        <f t="shared" ref="L48:L52" si="58">K48-J48</f>
        <v>-17820</v>
      </c>
      <c r="M48" s="100">
        <f t="shared" ref="M48:M52" si="59">IFERROR(L48/ABS(J48), "-")</f>
        <v>-1</v>
      </c>
      <c r="N48" s="258"/>
      <c r="O48" s="103">
        <v>26730</v>
      </c>
      <c r="P48" s="103"/>
      <c r="Q48" s="104">
        <f t="shared" ref="Q48:Q52" si="60">P48-O48</f>
        <v>-26730</v>
      </c>
      <c r="R48" s="100">
        <f t="shared" ref="R48:R52" si="61">IFERROR(Q48/ABS(O48), "-")</f>
        <v>-1</v>
      </c>
      <c r="S48" s="258"/>
      <c r="T48" s="103">
        <f>D48</f>
        <v>36135</v>
      </c>
      <c r="U48" s="103"/>
      <c r="V48" s="104">
        <f t="shared" ref="V48:V52" si="62">U48-T48</f>
        <v>-36135</v>
      </c>
      <c r="W48" s="100">
        <f t="shared" ref="W48:W52" si="63">IFERROR(V48/ABS(T48), "-")</f>
        <v>-1</v>
      </c>
      <c r="X48" s="258"/>
    </row>
    <row r="49" spans="1:24" ht="18" customHeight="1" x14ac:dyDescent="0.2">
      <c r="A49" s="255" t="s">
        <v>218</v>
      </c>
      <c r="B49" s="291" t="s">
        <v>515</v>
      </c>
      <c r="C49" s="456">
        <v>34.69</v>
      </c>
      <c r="D49" s="456">
        <v>36.58</v>
      </c>
      <c r="E49" s="456">
        <v>36.58</v>
      </c>
      <c r="F49" s="474">
        <f>'Budžeta tāme'!F11/'Naturālie rādītāji'!F48</f>
        <v>36.425541619156213</v>
      </c>
      <c r="G49" s="458">
        <f t="shared" si="56"/>
        <v>-0.15445838084378494</v>
      </c>
      <c r="H49" s="459">
        <f t="shared" si="57"/>
        <v>-4.2224817070471553E-3</v>
      </c>
      <c r="I49" s="460"/>
      <c r="J49" s="456">
        <v>36.58</v>
      </c>
      <c r="K49" s="457"/>
      <c r="L49" s="458">
        <f t="shared" si="58"/>
        <v>-36.58</v>
      </c>
      <c r="M49" s="459">
        <f t="shared" si="59"/>
        <v>-1</v>
      </c>
      <c r="N49" s="460"/>
      <c r="O49" s="456">
        <v>36.58</v>
      </c>
      <c r="P49" s="457"/>
      <c r="Q49" s="458">
        <f t="shared" si="60"/>
        <v>-36.58</v>
      </c>
      <c r="R49" s="459">
        <f t="shared" si="61"/>
        <v>-1</v>
      </c>
      <c r="S49" s="460"/>
      <c r="T49" s="456">
        <v>36.58</v>
      </c>
      <c r="U49" s="103"/>
      <c r="V49" s="104">
        <f t="shared" si="62"/>
        <v>-36.58</v>
      </c>
      <c r="W49" s="100">
        <f t="shared" si="63"/>
        <v>-1</v>
      </c>
      <c r="X49" s="258"/>
    </row>
    <row r="50" spans="1:24" ht="18" customHeight="1" x14ac:dyDescent="0.2">
      <c r="A50" s="255" t="s">
        <v>217</v>
      </c>
      <c r="B50" s="291" t="s">
        <v>516</v>
      </c>
      <c r="C50" s="456">
        <v>34.43</v>
      </c>
      <c r="D50" s="456">
        <f>D49</f>
        <v>36.58</v>
      </c>
      <c r="E50" s="457">
        <f>E49</f>
        <v>36.58</v>
      </c>
      <c r="F50" s="474">
        <f>349561.67/F48</f>
        <v>39.858799315849488</v>
      </c>
      <c r="G50" s="458">
        <f t="shared" si="56"/>
        <v>3.2787993158494899</v>
      </c>
      <c r="H50" s="459">
        <f t="shared" si="57"/>
        <v>8.9633660903485235E-2</v>
      </c>
      <c r="I50" s="460"/>
      <c r="J50" s="457">
        <f>J49</f>
        <v>36.58</v>
      </c>
      <c r="K50" s="457"/>
      <c r="L50" s="458">
        <f t="shared" si="58"/>
        <v>-36.58</v>
      </c>
      <c r="M50" s="459">
        <f t="shared" si="59"/>
        <v>-1</v>
      </c>
      <c r="N50" s="460"/>
      <c r="O50" s="457">
        <f>O49</f>
        <v>36.58</v>
      </c>
      <c r="P50" s="457"/>
      <c r="Q50" s="458">
        <f t="shared" si="60"/>
        <v>-36.58</v>
      </c>
      <c r="R50" s="459">
        <f t="shared" si="61"/>
        <v>-1</v>
      </c>
      <c r="S50" s="460"/>
      <c r="T50" s="457">
        <f>T49</f>
        <v>36.58</v>
      </c>
      <c r="U50" s="103"/>
      <c r="V50" s="104">
        <f t="shared" si="62"/>
        <v>-36.58</v>
      </c>
      <c r="W50" s="100">
        <f t="shared" si="63"/>
        <v>-1</v>
      </c>
      <c r="X50" s="258"/>
    </row>
    <row r="51" spans="1:24" ht="18" customHeight="1" x14ac:dyDescent="0.2">
      <c r="A51" s="255" t="s">
        <v>216</v>
      </c>
      <c r="B51" s="291" t="s">
        <v>215</v>
      </c>
      <c r="C51" s="167">
        <v>98</v>
      </c>
      <c r="D51" s="167">
        <v>99</v>
      </c>
      <c r="E51" s="103">
        <v>99</v>
      </c>
      <c r="F51" s="466">
        <f>F48/90</f>
        <v>97.444444444444443</v>
      </c>
      <c r="G51" s="104">
        <f t="shared" si="56"/>
        <v>-1.5555555555555571</v>
      </c>
      <c r="H51" s="100">
        <f t="shared" si="57"/>
        <v>-1.5712682379349061E-2</v>
      </c>
      <c r="I51" s="258"/>
      <c r="J51" s="103">
        <v>99</v>
      </c>
      <c r="K51" s="103"/>
      <c r="L51" s="104">
        <f t="shared" si="58"/>
        <v>-99</v>
      </c>
      <c r="M51" s="100">
        <f t="shared" si="59"/>
        <v>-1</v>
      </c>
      <c r="N51" s="258"/>
      <c r="O51" s="103">
        <v>99</v>
      </c>
      <c r="P51" s="103"/>
      <c r="Q51" s="104">
        <f t="shared" si="60"/>
        <v>-99</v>
      </c>
      <c r="R51" s="100">
        <f t="shared" si="61"/>
        <v>-1</v>
      </c>
      <c r="S51" s="258"/>
      <c r="T51" s="103">
        <v>99</v>
      </c>
      <c r="U51" s="103"/>
      <c r="V51" s="104">
        <f t="shared" si="62"/>
        <v>-99</v>
      </c>
      <c r="W51" s="100">
        <f t="shared" si="63"/>
        <v>-1</v>
      </c>
      <c r="X51" s="258"/>
    </row>
    <row r="52" spans="1:24" ht="18" customHeight="1" x14ac:dyDescent="0.2">
      <c r="A52" s="255" t="s">
        <v>214</v>
      </c>
      <c r="B52" s="291" t="s">
        <v>517</v>
      </c>
      <c r="C52" s="167">
        <v>365</v>
      </c>
      <c r="D52" s="167">
        <v>365</v>
      </c>
      <c r="E52" s="103">
        <v>90</v>
      </c>
      <c r="F52" s="466">
        <v>90</v>
      </c>
      <c r="G52" s="104">
        <f t="shared" si="56"/>
        <v>0</v>
      </c>
      <c r="H52" s="100">
        <f t="shared" si="57"/>
        <v>0</v>
      </c>
      <c r="I52" s="258"/>
      <c r="J52" s="103">
        <v>181</v>
      </c>
      <c r="K52" s="103"/>
      <c r="L52" s="104">
        <f t="shared" si="58"/>
        <v>-181</v>
      </c>
      <c r="M52" s="100">
        <f t="shared" si="59"/>
        <v>-1</v>
      </c>
      <c r="N52" s="258"/>
      <c r="O52" s="103">
        <v>273</v>
      </c>
      <c r="P52" s="103"/>
      <c r="Q52" s="104">
        <f t="shared" si="60"/>
        <v>-273</v>
      </c>
      <c r="R52" s="100">
        <f t="shared" si="61"/>
        <v>-1</v>
      </c>
      <c r="S52" s="258"/>
      <c r="T52" s="103">
        <v>365</v>
      </c>
      <c r="U52" s="103"/>
      <c r="V52" s="104">
        <f t="shared" si="62"/>
        <v>-365</v>
      </c>
      <c r="W52" s="100">
        <f t="shared" si="63"/>
        <v>-1</v>
      </c>
      <c r="X52" s="258"/>
    </row>
    <row r="53" spans="1:24" ht="18" customHeight="1" x14ac:dyDescent="0.2">
      <c r="A53" s="379" t="s">
        <v>213</v>
      </c>
      <c r="B53" s="392" t="s">
        <v>388</v>
      </c>
      <c r="C53" s="393" t="s">
        <v>183</v>
      </c>
      <c r="D53" s="393" t="s">
        <v>183</v>
      </c>
      <c r="E53" s="382" t="s">
        <v>183</v>
      </c>
      <c r="F53" s="463" t="s">
        <v>183</v>
      </c>
      <c r="G53" s="383" t="s">
        <v>183</v>
      </c>
      <c r="H53" s="384" t="s">
        <v>183</v>
      </c>
      <c r="I53" s="384" t="s">
        <v>183</v>
      </c>
      <c r="J53" s="382" t="s">
        <v>183</v>
      </c>
      <c r="K53" s="383" t="s">
        <v>183</v>
      </c>
      <c r="L53" s="383" t="s">
        <v>183</v>
      </c>
      <c r="M53" s="384" t="s">
        <v>183</v>
      </c>
      <c r="N53" s="384" t="s">
        <v>183</v>
      </c>
      <c r="O53" s="382" t="s">
        <v>183</v>
      </c>
      <c r="P53" s="383" t="s">
        <v>183</v>
      </c>
      <c r="Q53" s="383" t="s">
        <v>183</v>
      </c>
      <c r="R53" s="384" t="s">
        <v>183</v>
      </c>
      <c r="S53" s="384" t="s">
        <v>183</v>
      </c>
      <c r="T53" s="382" t="s">
        <v>183</v>
      </c>
      <c r="U53" s="383" t="s">
        <v>183</v>
      </c>
      <c r="V53" s="383" t="s">
        <v>183</v>
      </c>
      <c r="W53" s="384" t="s">
        <v>183</v>
      </c>
      <c r="X53" s="384" t="s">
        <v>183</v>
      </c>
    </row>
    <row r="54" spans="1:24" ht="18" customHeight="1" x14ac:dyDescent="0.2">
      <c r="A54" s="284" t="s">
        <v>212</v>
      </c>
      <c r="B54" s="151" t="s">
        <v>211</v>
      </c>
      <c r="C54" s="141">
        <f>SUM(C55:C59)</f>
        <v>469</v>
      </c>
      <c r="D54" s="141">
        <f t="shared" ref="D54:F54" si="64">SUM(D55:D59)</f>
        <v>480.9</v>
      </c>
      <c r="E54" s="141">
        <f t="shared" si="64"/>
        <v>477</v>
      </c>
      <c r="F54" s="475">
        <f t="shared" si="64"/>
        <v>473.42000000000007</v>
      </c>
      <c r="G54" s="144">
        <f t="shared" ref="G54:G77" si="65">F54-E54</f>
        <v>-3.5799999999999272</v>
      </c>
      <c r="H54" s="145">
        <f t="shared" ref="H54:H77" si="66">IFERROR(G54/ABS(E54), "-")</f>
        <v>-7.5052410901465978E-3</v>
      </c>
      <c r="I54" s="292"/>
      <c r="J54" s="141">
        <f t="shared" ref="J54:K54" si="67">SUM(J55:J59)</f>
        <v>479</v>
      </c>
      <c r="K54" s="141">
        <f t="shared" si="67"/>
        <v>0</v>
      </c>
      <c r="L54" s="144">
        <f t="shared" ref="L54:L59" si="68">K54-J54</f>
        <v>-479</v>
      </c>
      <c r="M54" s="145">
        <f t="shared" ref="M54:M77" si="69">IFERROR(L54/ABS(J54), "-")</f>
        <v>-1</v>
      </c>
      <c r="N54" s="292"/>
      <c r="O54" s="141">
        <f t="shared" ref="O54:P54" si="70">SUM(O55:O59)</f>
        <v>480</v>
      </c>
      <c r="P54" s="141">
        <f t="shared" si="70"/>
        <v>0</v>
      </c>
      <c r="Q54" s="144">
        <f t="shared" ref="Q54:Q59" si="71">P54-O54</f>
        <v>-480</v>
      </c>
      <c r="R54" s="145">
        <f t="shared" ref="R54:R77" si="72">IFERROR(Q54/ABS(O54), "-")</f>
        <v>-1</v>
      </c>
      <c r="S54" s="292"/>
      <c r="T54" s="141">
        <f t="shared" ref="T54:U54" si="73">SUM(T55:T59)</f>
        <v>480.9</v>
      </c>
      <c r="U54" s="141">
        <f t="shared" si="73"/>
        <v>0</v>
      </c>
      <c r="V54" s="144">
        <f t="shared" ref="V54:V59" si="74">U54-T54</f>
        <v>-480.9</v>
      </c>
      <c r="W54" s="145">
        <f t="shared" ref="W54:W77" si="75">IFERROR(V54/ABS(T54), "-")</f>
        <v>-1</v>
      </c>
      <c r="X54" s="292"/>
    </row>
    <row r="55" spans="1:24" ht="18" customHeight="1" x14ac:dyDescent="0.2">
      <c r="A55" s="272" t="s">
        <v>210</v>
      </c>
      <c r="B55" s="293" t="s">
        <v>518</v>
      </c>
      <c r="C55" s="103">
        <v>50</v>
      </c>
      <c r="D55" s="103">
        <v>54.9</v>
      </c>
      <c r="E55" s="275">
        <v>54</v>
      </c>
      <c r="F55" s="470">
        <v>52.18</v>
      </c>
      <c r="G55" s="276">
        <f t="shared" si="65"/>
        <v>-1.8200000000000003</v>
      </c>
      <c r="H55" s="100">
        <f t="shared" si="66"/>
        <v>-3.3703703703703708E-2</v>
      </c>
      <c r="I55" s="258"/>
      <c r="J55" s="275">
        <v>54</v>
      </c>
      <c r="K55" s="275"/>
      <c r="L55" s="276">
        <f t="shared" si="68"/>
        <v>-54</v>
      </c>
      <c r="M55" s="100">
        <f t="shared" si="69"/>
        <v>-1</v>
      </c>
      <c r="N55" s="258"/>
      <c r="O55" s="275">
        <v>54</v>
      </c>
      <c r="P55" s="275"/>
      <c r="Q55" s="276">
        <f t="shared" si="71"/>
        <v>-54</v>
      </c>
      <c r="R55" s="100">
        <f t="shared" si="72"/>
        <v>-1</v>
      </c>
      <c r="S55" s="258"/>
      <c r="T55" s="275">
        <f>D55</f>
        <v>54.9</v>
      </c>
      <c r="U55" s="275"/>
      <c r="V55" s="276">
        <f t="shared" si="74"/>
        <v>-54.9</v>
      </c>
      <c r="W55" s="100">
        <f t="shared" si="75"/>
        <v>-1</v>
      </c>
      <c r="X55" s="258"/>
    </row>
    <row r="56" spans="1:24" ht="18" customHeight="1" x14ac:dyDescent="0.2">
      <c r="A56" s="272" t="s">
        <v>209</v>
      </c>
      <c r="B56" s="293" t="s">
        <v>519</v>
      </c>
      <c r="C56" s="103">
        <v>95</v>
      </c>
      <c r="D56" s="103">
        <v>97</v>
      </c>
      <c r="E56" s="103">
        <v>97</v>
      </c>
      <c r="F56" s="466">
        <v>96</v>
      </c>
      <c r="G56" s="104">
        <f t="shared" si="65"/>
        <v>-1</v>
      </c>
      <c r="H56" s="100">
        <f t="shared" si="66"/>
        <v>-1.0309278350515464E-2</v>
      </c>
      <c r="I56" s="258"/>
      <c r="J56" s="103">
        <v>97</v>
      </c>
      <c r="K56" s="103"/>
      <c r="L56" s="104">
        <f t="shared" si="68"/>
        <v>-97</v>
      </c>
      <c r="M56" s="100">
        <f t="shared" si="69"/>
        <v>-1</v>
      </c>
      <c r="N56" s="258"/>
      <c r="O56" s="103">
        <v>97</v>
      </c>
      <c r="P56" s="103"/>
      <c r="Q56" s="104">
        <f t="shared" si="71"/>
        <v>-97</v>
      </c>
      <c r="R56" s="100">
        <f t="shared" si="72"/>
        <v>-1</v>
      </c>
      <c r="S56" s="258"/>
      <c r="T56" s="275">
        <f t="shared" ref="T56:T59" si="76">D56</f>
        <v>97</v>
      </c>
      <c r="U56" s="103"/>
      <c r="V56" s="104">
        <f t="shared" si="74"/>
        <v>-97</v>
      </c>
      <c r="W56" s="100">
        <f t="shared" si="75"/>
        <v>-1</v>
      </c>
      <c r="X56" s="258"/>
    </row>
    <row r="57" spans="1:24" ht="18" customHeight="1" x14ac:dyDescent="0.2">
      <c r="A57" s="272" t="s">
        <v>208</v>
      </c>
      <c r="B57" s="89" t="s">
        <v>520</v>
      </c>
      <c r="C57" s="277">
        <v>89</v>
      </c>
      <c r="D57" s="277">
        <v>96</v>
      </c>
      <c r="E57" s="103">
        <v>93</v>
      </c>
      <c r="F57" s="466">
        <v>93.92</v>
      </c>
      <c r="G57" s="104">
        <f t="shared" si="65"/>
        <v>0.92000000000000171</v>
      </c>
      <c r="H57" s="100">
        <f t="shared" si="66"/>
        <v>9.8924731182795881E-3</v>
      </c>
      <c r="I57" s="258"/>
      <c r="J57" s="103">
        <v>95</v>
      </c>
      <c r="K57" s="103"/>
      <c r="L57" s="104">
        <f t="shared" si="68"/>
        <v>-95</v>
      </c>
      <c r="M57" s="100">
        <f t="shared" si="69"/>
        <v>-1</v>
      </c>
      <c r="N57" s="258"/>
      <c r="O57" s="103">
        <v>96</v>
      </c>
      <c r="P57" s="103"/>
      <c r="Q57" s="104">
        <f t="shared" si="71"/>
        <v>-96</v>
      </c>
      <c r="R57" s="100">
        <f t="shared" si="72"/>
        <v>-1</v>
      </c>
      <c r="S57" s="258"/>
      <c r="T57" s="275">
        <f t="shared" si="76"/>
        <v>96</v>
      </c>
      <c r="U57" s="103"/>
      <c r="V57" s="104">
        <f t="shared" si="74"/>
        <v>-96</v>
      </c>
      <c r="W57" s="100">
        <f t="shared" si="75"/>
        <v>-1</v>
      </c>
      <c r="X57" s="258"/>
    </row>
    <row r="58" spans="1:24" ht="18" customHeight="1" x14ac:dyDescent="0.2">
      <c r="A58" s="272" t="s">
        <v>207</v>
      </c>
      <c r="B58" s="89" t="s">
        <v>521</v>
      </c>
      <c r="C58" s="277">
        <v>17</v>
      </c>
      <c r="D58" s="277">
        <v>18</v>
      </c>
      <c r="E58" s="103">
        <v>18</v>
      </c>
      <c r="F58" s="466">
        <v>17.420000000000002</v>
      </c>
      <c r="G58" s="104">
        <f t="shared" si="65"/>
        <v>-0.57999999999999829</v>
      </c>
      <c r="H58" s="100">
        <f t="shared" si="66"/>
        <v>-3.2222222222222124E-2</v>
      </c>
      <c r="I58" s="258"/>
      <c r="J58" s="103">
        <v>18</v>
      </c>
      <c r="K58" s="103"/>
      <c r="L58" s="104">
        <f t="shared" si="68"/>
        <v>-18</v>
      </c>
      <c r="M58" s="100">
        <f t="shared" si="69"/>
        <v>-1</v>
      </c>
      <c r="N58" s="258"/>
      <c r="O58" s="103">
        <v>18</v>
      </c>
      <c r="P58" s="103"/>
      <c r="Q58" s="104">
        <f t="shared" si="71"/>
        <v>-18</v>
      </c>
      <c r="R58" s="100">
        <f t="shared" si="72"/>
        <v>-1</v>
      </c>
      <c r="S58" s="258"/>
      <c r="T58" s="275">
        <f t="shared" si="76"/>
        <v>18</v>
      </c>
      <c r="U58" s="103"/>
      <c r="V58" s="104">
        <f t="shared" si="74"/>
        <v>-18</v>
      </c>
      <c r="W58" s="100">
        <f t="shared" si="75"/>
        <v>-1</v>
      </c>
      <c r="X58" s="258"/>
    </row>
    <row r="59" spans="1:24" ht="18" customHeight="1" x14ac:dyDescent="0.2">
      <c r="A59" s="272" t="s">
        <v>206</v>
      </c>
      <c r="B59" s="89" t="s">
        <v>522</v>
      </c>
      <c r="C59" s="277">
        <v>218</v>
      </c>
      <c r="D59" s="277">
        <v>215</v>
      </c>
      <c r="E59" s="103">
        <v>215</v>
      </c>
      <c r="F59" s="466">
        <v>213.9</v>
      </c>
      <c r="G59" s="104">
        <f t="shared" si="65"/>
        <v>-1.0999999999999943</v>
      </c>
      <c r="H59" s="100">
        <f t="shared" si="66"/>
        <v>-5.1162790697674154E-3</v>
      </c>
      <c r="I59" s="258"/>
      <c r="J59" s="103">
        <v>215</v>
      </c>
      <c r="K59" s="103"/>
      <c r="L59" s="104">
        <f t="shared" si="68"/>
        <v>-215</v>
      </c>
      <c r="M59" s="100">
        <f t="shared" si="69"/>
        <v>-1</v>
      </c>
      <c r="N59" s="258"/>
      <c r="O59" s="103">
        <v>215</v>
      </c>
      <c r="P59" s="103"/>
      <c r="Q59" s="104">
        <f t="shared" si="71"/>
        <v>-215</v>
      </c>
      <c r="R59" s="100">
        <f t="shared" si="72"/>
        <v>-1</v>
      </c>
      <c r="S59" s="258"/>
      <c r="T59" s="275">
        <f t="shared" si="76"/>
        <v>215</v>
      </c>
      <c r="U59" s="103"/>
      <c r="V59" s="104">
        <f t="shared" si="74"/>
        <v>-215</v>
      </c>
      <c r="W59" s="100">
        <f t="shared" si="75"/>
        <v>-1</v>
      </c>
      <c r="X59" s="258"/>
    </row>
    <row r="60" spans="1:24" ht="18" customHeight="1" x14ac:dyDescent="0.2">
      <c r="A60" s="284" t="s">
        <v>205</v>
      </c>
      <c r="B60" s="294" t="s">
        <v>204</v>
      </c>
      <c r="C60" s="141">
        <f>IFERROR((C61*C55+C62*C56+C63*C57+C64*C58+C65*C59)/C54, "-")</f>
        <v>1362.3837953091684</v>
      </c>
      <c r="D60" s="141">
        <f t="shared" ref="D60:F60" si="77">IFERROR((D61*D55+D62*D56+D63*D57+D64*D58+D65*D59)/D54, "-")</f>
        <v>1478.0496984820129</v>
      </c>
      <c r="E60" s="141">
        <f t="shared" si="77"/>
        <v>1393.7882599580712</v>
      </c>
      <c r="F60" s="475">
        <f t="shared" si="77"/>
        <v>1347.4028798952302</v>
      </c>
      <c r="G60" s="144">
        <f t="shared" si="65"/>
        <v>-46.385380062841023</v>
      </c>
      <c r="H60" s="145">
        <f t="shared" si="66"/>
        <v>-3.3280076605205738E-2</v>
      </c>
      <c r="I60" s="292"/>
      <c r="J60" s="141">
        <f t="shared" ref="J60:K60" si="78">IFERROR((J61*J55+J62*J56+J63*J57+J64*J58+J65*J59)/J54, "-")</f>
        <v>1446.7244258872652</v>
      </c>
      <c r="K60" s="141" t="str">
        <f t="shared" si="78"/>
        <v>-</v>
      </c>
      <c r="L60" s="144"/>
      <c r="M60" s="145">
        <f t="shared" si="69"/>
        <v>0</v>
      </c>
      <c r="N60" s="292"/>
      <c r="O60" s="141">
        <f t="shared" ref="O60:P60" si="79">IFERROR((O61*O55+O62*O56+O63*O57+O64*O58+O65*O59)/O54, "-")</f>
        <v>1472.0020833333333</v>
      </c>
      <c r="P60" s="141" t="str">
        <f t="shared" si="79"/>
        <v>-</v>
      </c>
      <c r="Q60" s="144"/>
      <c r="R60" s="145">
        <f t="shared" si="72"/>
        <v>0</v>
      </c>
      <c r="S60" s="292"/>
      <c r="T60" s="141">
        <f t="shared" ref="T60:U60" si="80">IFERROR((T61*T55+T62*T56+T63*T57+T64*T58+T65*T59)/T54, "-")</f>
        <v>1478.0496984820129</v>
      </c>
      <c r="U60" s="141" t="str">
        <f t="shared" si="80"/>
        <v>-</v>
      </c>
      <c r="V60" s="144"/>
      <c r="W60" s="145">
        <f t="shared" si="75"/>
        <v>0</v>
      </c>
      <c r="X60" s="292"/>
    </row>
    <row r="61" spans="1:24" ht="18" customHeight="1" x14ac:dyDescent="0.2">
      <c r="A61" s="272" t="s">
        <v>203</v>
      </c>
      <c r="B61" s="293" t="s">
        <v>518</v>
      </c>
      <c r="C61" s="103">
        <v>2808</v>
      </c>
      <c r="D61" s="103">
        <v>3009</v>
      </c>
      <c r="E61" s="103">
        <v>2813</v>
      </c>
      <c r="F61" s="470">
        <v>2746.37</v>
      </c>
      <c r="G61" s="104">
        <f t="shared" si="65"/>
        <v>-66.630000000000109</v>
      </c>
      <c r="H61" s="100">
        <f t="shared" si="66"/>
        <v>-2.3686455741201602E-2</v>
      </c>
      <c r="I61" s="258"/>
      <c r="J61" s="103">
        <v>2928</v>
      </c>
      <c r="K61" s="275"/>
      <c r="L61" s="104">
        <f t="shared" ref="L61:L77" si="81">K61-J61</f>
        <v>-2928</v>
      </c>
      <c r="M61" s="100">
        <f t="shared" si="69"/>
        <v>-1</v>
      </c>
      <c r="N61" s="258"/>
      <c r="O61" s="103">
        <v>3032</v>
      </c>
      <c r="P61" s="275"/>
      <c r="Q61" s="104">
        <f t="shared" ref="Q61:Q77" si="82">P61-O61</f>
        <v>-3032</v>
      </c>
      <c r="R61" s="100">
        <f t="shared" si="72"/>
        <v>-1</v>
      </c>
      <c r="S61" s="258"/>
      <c r="T61" s="103">
        <f>D61</f>
        <v>3009</v>
      </c>
      <c r="U61" s="275"/>
      <c r="V61" s="104">
        <f t="shared" ref="V61:V77" si="83">U61-T61</f>
        <v>-3009</v>
      </c>
      <c r="W61" s="100">
        <f t="shared" si="75"/>
        <v>-1</v>
      </c>
      <c r="X61" s="258"/>
    </row>
    <row r="62" spans="1:24" ht="18" customHeight="1" x14ac:dyDescent="0.2">
      <c r="A62" s="272" t="s">
        <v>202</v>
      </c>
      <c r="B62" s="293" t="s">
        <v>519</v>
      </c>
      <c r="C62" s="103">
        <v>1766</v>
      </c>
      <c r="D62" s="103">
        <v>1754</v>
      </c>
      <c r="E62" s="103">
        <v>1665</v>
      </c>
      <c r="F62" s="470">
        <v>1651.64</v>
      </c>
      <c r="G62" s="104">
        <f t="shared" si="65"/>
        <v>-13.3599999999999</v>
      </c>
      <c r="H62" s="100">
        <f t="shared" si="66"/>
        <v>-8.0240240240239645E-3</v>
      </c>
      <c r="I62" s="258"/>
      <c r="J62" s="103">
        <v>1734</v>
      </c>
      <c r="K62" s="275"/>
      <c r="L62" s="104">
        <f t="shared" si="81"/>
        <v>-1734</v>
      </c>
      <c r="M62" s="100">
        <f t="shared" si="69"/>
        <v>-1</v>
      </c>
      <c r="N62" s="258"/>
      <c r="O62" s="103">
        <v>1745</v>
      </c>
      <c r="P62" s="275"/>
      <c r="Q62" s="104">
        <f t="shared" si="82"/>
        <v>-1745</v>
      </c>
      <c r="R62" s="100">
        <f t="shared" si="72"/>
        <v>-1</v>
      </c>
      <c r="S62" s="258"/>
      <c r="T62" s="103">
        <f t="shared" ref="T62:T65" si="84">D62</f>
        <v>1754</v>
      </c>
      <c r="U62" s="275"/>
      <c r="V62" s="104">
        <f t="shared" si="83"/>
        <v>-1754</v>
      </c>
      <c r="W62" s="100">
        <f t="shared" si="75"/>
        <v>-1</v>
      </c>
      <c r="X62" s="258"/>
    </row>
    <row r="63" spans="1:24" ht="18" customHeight="1" x14ac:dyDescent="0.2">
      <c r="A63" s="272" t="s">
        <v>201</v>
      </c>
      <c r="B63" s="89" t="s">
        <v>520</v>
      </c>
      <c r="C63" s="277">
        <v>1048</v>
      </c>
      <c r="D63" s="277">
        <v>1123</v>
      </c>
      <c r="E63" s="103">
        <v>1039</v>
      </c>
      <c r="F63" s="470">
        <v>989.61</v>
      </c>
      <c r="G63" s="104">
        <f t="shared" si="65"/>
        <v>-49.389999999999986</v>
      </c>
      <c r="H63" s="100">
        <f t="shared" si="66"/>
        <v>-4.7536092396535119E-2</v>
      </c>
      <c r="I63" s="258"/>
      <c r="J63" s="103">
        <v>1107</v>
      </c>
      <c r="K63" s="275"/>
      <c r="L63" s="104">
        <f t="shared" si="81"/>
        <v>-1107</v>
      </c>
      <c r="M63" s="100">
        <f t="shared" si="69"/>
        <v>-1</v>
      </c>
      <c r="N63" s="258"/>
      <c r="O63" s="103">
        <v>1124</v>
      </c>
      <c r="P63" s="275"/>
      <c r="Q63" s="104">
        <f t="shared" si="82"/>
        <v>-1124</v>
      </c>
      <c r="R63" s="100">
        <f t="shared" si="72"/>
        <v>-1</v>
      </c>
      <c r="S63" s="258"/>
      <c r="T63" s="103">
        <f t="shared" si="84"/>
        <v>1123</v>
      </c>
      <c r="U63" s="275"/>
      <c r="V63" s="104">
        <f t="shared" si="83"/>
        <v>-1123</v>
      </c>
      <c r="W63" s="100">
        <f t="shared" si="75"/>
        <v>-1</v>
      </c>
      <c r="X63" s="258"/>
    </row>
    <row r="64" spans="1:24" ht="18" customHeight="1" x14ac:dyDescent="0.2">
      <c r="A64" s="272" t="s">
        <v>200</v>
      </c>
      <c r="B64" s="89" t="s">
        <v>521</v>
      </c>
      <c r="C64" s="277">
        <v>2238</v>
      </c>
      <c r="D64" s="277">
        <v>2543</v>
      </c>
      <c r="E64" s="103">
        <v>2486</v>
      </c>
      <c r="F64" s="470">
        <v>2416.63</v>
      </c>
      <c r="G64" s="104">
        <f t="shared" si="65"/>
        <v>-69.369999999999891</v>
      </c>
      <c r="H64" s="100">
        <f t="shared" si="66"/>
        <v>-2.790426387771516E-2</v>
      </c>
      <c r="I64" s="258"/>
      <c r="J64" s="103">
        <v>2512</v>
      </c>
      <c r="K64" s="275"/>
      <c r="L64" s="104">
        <f t="shared" si="81"/>
        <v>-2512</v>
      </c>
      <c r="M64" s="100">
        <f t="shared" si="69"/>
        <v>-1</v>
      </c>
      <c r="N64" s="258"/>
      <c r="O64" s="103">
        <v>2528</v>
      </c>
      <c r="P64" s="275"/>
      <c r="Q64" s="104">
        <f t="shared" si="82"/>
        <v>-2528</v>
      </c>
      <c r="R64" s="100">
        <f t="shared" si="72"/>
        <v>-1</v>
      </c>
      <c r="S64" s="258"/>
      <c r="T64" s="103">
        <f t="shared" si="84"/>
        <v>2543</v>
      </c>
      <c r="U64" s="275"/>
      <c r="V64" s="104">
        <f t="shared" si="83"/>
        <v>-2543</v>
      </c>
      <c r="W64" s="100">
        <f t="shared" si="75"/>
        <v>-1</v>
      </c>
      <c r="X64" s="258"/>
    </row>
    <row r="65" spans="1:24" ht="18" customHeight="1" x14ac:dyDescent="0.2">
      <c r="A65" s="272" t="s">
        <v>199</v>
      </c>
      <c r="B65" s="89" t="s">
        <v>522</v>
      </c>
      <c r="C65" s="277">
        <v>915</v>
      </c>
      <c r="D65" s="277">
        <v>1032</v>
      </c>
      <c r="E65" s="103">
        <v>977</v>
      </c>
      <c r="F65" s="470">
        <v>939.61</v>
      </c>
      <c r="G65" s="104">
        <f t="shared" si="65"/>
        <v>-37.389999999999986</v>
      </c>
      <c r="H65" s="100">
        <f t="shared" si="66"/>
        <v>-3.8270214943705208E-2</v>
      </c>
      <c r="I65" s="258"/>
      <c r="J65" s="103">
        <v>1006</v>
      </c>
      <c r="K65" s="275"/>
      <c r="L65" s="104">
        <f t="shared" si="81"/>
        <v>-1006</v>
      </c>
      <c r="M65" s="100">
        <f t="shared" si="69"/>
        <v>-1</v>
      </c>
      <c r="N65" s="258"/>
      <c r="O65" s="103">
        <v>1024</v>
      </c>
      <c r="P65" s="275"/>
      <c r="Q65" s="104">
        <f t="shared" si="82"/>
        <v>-1024</v>
      </c>
      <c r="R65" s="100">
        <f t="shared" si="72"/>
        <v>-1</v>
      </c>
      <c r="S65" s="258"/>
      <c r="T65" s="103">
        <f t="shared" si="84"/>
        <v>1032</v>
      </c>
      <c r="U65" s="275"/>
      <c r="V65" s="104">
        <f t="shared" si="83"/>
        <v>-1032</v>
      </c>
      <c r="W65" s="100">
        <f t="shared" si="75"/>
        <v>-1</v>
      </c>
      <c r="X65" s="258"/>
    </row>
    <row r="66" spans="1:24" ht="18" customHeight="1" x14ac:dyDescent="0.2">
      <c r="A66" s="284" t="s">
        <v>198</v>
      </c>
      <c r="B66" s="151" t="s">
        <v>197</v>
      </c>
      <c r="C66" s="141">
        <f>SUM(C67:C71)</f>
        <v>520</v>
      </c>
      <c r="D66" s="141">
        <f t="shared" ref="D66:F66" si="85">SUM(D67:D71)</f>
        <v>531</v>
      </c>
      <c r="E66" s="141">
        <f t="shared" si="85"/>
        <v>532</v>
      </c>
      <c r="F66" s="475">
        <f t="shared" si="85"/>
        <v>530</v>
      </c>
      <c r="G66" s="144">
        <f t="shared" si="65"/>
        <v>-2</v>
      </c>
      <c r="H66" s="145">
        <f t="shared" si="66"/>
        <v>-3.7593984962406013E-3</v>
      </c>
      <c r="I66" s="292"/>
      <c r="J66" s="141">
        <f t="shared" ref="J66:K66" si="86">SUM(J67:J71)</f>
        <v>530</v>
      </c>
      <c r="K66" s="141">
        <f t="shared" si="86"/>
        <v>0</v>
      </c>
      <c r="L66" s="144">
        <f t="shared" si="81"/>
        <v>-530</v>
      </c>
      <c r="M66" s="145">
        <f t="shared" si="69"/>
        <v>-1</v>
      </c>
      <c r="N66" s="292"/>
      <c r="O66" s="141">
        <f t="shared" ref="O66:P66" si="87">SUM(O67:O71)</f>
        <v>531</v>
      </c>
      <c r="P66" s="141">
        <f t="shared" si="87"/>
        <v>0</v>
      </c>
      <c r="Q66" s="144">
        <f t="shared" si="82"/>
        <v>-531</v>
      </c>
      <c r="R66" s="145">
        <f t="shared" si="72"/>
        <v>-1</v>
      </c>
      <c r="S66" s="292"/>
      <c r="T66" s="141">
        <f t="shared" ref="T66:U66" si="88">SUM(T67:T71)</f>
        <v>531</v>
      </c>
      <c r="U66" s="141">
        <f t="shared" si="88"/>
        <v>0</v>
      </c>
      <c r="V66" s="144">
        <f t="shared" si="83"/>
        <v>-531</v>
      </c>
      <c r="W66" s="145">
        <f t="shared" si="75"/>
        <v>-1</v>
      </c>
      <c r="X66" s="292"/>
    </row>
    <row r="67" spans="1:24" ht="18" customHeight="1" x14ac:dyDescent="0.2">
      <c r="A67" s="272" t="s">
        <v>196</v>
      </c>
      <c r="B67" s="293" t="s">
        <v>518</v>
      </c>
      <c r="C67" s="103">
        <v>68</v>
      </c>
      <c r="D67" s="103">
        <v>71</v>
      </c>
      <c r="E67" s="275">
        <v>72</v>
      </c>
      <c r="F67" s="470">
        <v>71</v>
      </c>
      <c r="G67" s="276">
        <f t="shared" si="65"/>
        <v>-1</v>
      </c>
      <c r="H67" s="100">
        <f t="shared" si="66"/>
        <v>-1.3888888888888888E-2</v>
      </c>
      <c r="I67" s="258"/>
      <c r="J67" s="275">
        <v>71</v>
      </c>
      <c r="K67" s="275"/>
      <c r="L67" s="276">
        <f t="shared" si="81"/>
        <v>-71</v>
      </c>
      <c r="M67" s="100">
        <f t="shared" si="69"/>
        <v>-1</v>
      </c>
      <c r="N67" s="258"/>
      <c r="O67" s="275">
        <v>71</v>
      </c>
      <c r="P67" s="275"/>
      <c r="Q67" s="276">
        <f t="shared" si="82"/>
        <v>-71</v>
      </c>
      <c r="R67" s="100">
        <f t="shared" si="72"/>
        <v>-1</v>
      </c>
      <c r="S67" s="258"/>
      <c r="T67" s="275">
        <f>D67</f>
        <v>71</v>
      </c>
      <c r="U67" s="275"/>
      <c r="V67" s="276">
        <f t="shared" si="83"/>
        <v>-71</v>
      </c>
      <c r="W67" s="100">
        <f t="shared" si="75"/>
        <v>-1</v>
      </c>
      <c r="X67" s="258"/>
    </row>
    <row r="68" spans="1:24" ht="18" customHeight="1" x14ac:dyDescent="0.2">
      <c r="A68" s="272" t="s">
        <v>195</v>
      </c>
      <c r="B68" s="293" t="s">
        <v>519</v>
      </c>
      <c r="C68" s="103">
        <v>107</v>
      </c>
      <c r="D68" s="103">
        <v>109</v>
      </c>
      <c r="E68" s="103">
        <v>109</v>
      </c>
      <c r="F68" s="466">
        <v>107.33</v>
      </c>
      <c r="G68" s="104">
        <f t="shared" si="65"/>
        <v>-1.6700000000000017</v>
      </c>
      <c r="H68" s="100">
        <f t="shared" si="66"/>
        <v>-1.5321100917431208E-2</v>
      </c>
      <c r="I68" s="258"/>
      <c r="J68" s="103">
        <v>108</v>
      </c>
      <c r="K68" s="103"/>
      <c r="L68" s="104">
        <f t="shared" si="81"/>
        <v>-108</v>
      </c>
      <c r="M68" s="100">
        <f t="shared" si="69"/>
        <v>-1</v>
      </c>
      <c r="N68" s="258"/>
      <c r="O68" s="103">
        <v>108</v>
      </c>
      <c r="P68" s="103"/>
      <c r="Q68" s="104">
        <f t="shared" si="82"/>
        <v>-108</v>
      </c>
      <c r="R68" s="100">
        <f t="shared" si="72"/>
        <v>-1</v>
      </c>
      <c r="S68" s="258"/>
      <c r="T68" s="275">
        <f t="shared" ref="T68:T71" si="89">D68</f>
        <v>109</v>
      </c>
      <c r="U68" s="103"/>
      <c r="V68" s="104">
        <f t="shared" si="83"/>
        <v>-109</v>
      </c>
      <c r="W68" s="100">
        <f t="shared" si="75"/>
        <v>-1</v>
      </c>
      <c r="X68" s="258"/>
    </row>
    <row r="69" spans="1:24" ht="18" customHeight="1" x14ac:dyDescent="0.2">
      <c r="A69" s="272" t="s">
        <v>194</v>
      </c>
      <c r="B69" s="89" t="s">
        <v>520</v>
      </c>
      <c r="C69" s="277">
        <v>92</v>
      </c>
      <c r="D69" s="277">
        <v>99</v>
      </c>
      <c r="E69" s="103">
        <v>97</v>
      </c>
      <c r="F69" s="466">
        <v>98</v>
      </c>
      <c r="G69" s="104">
        <f t="shared" si="65"/>
        <v>1</v>
      </c>
      <c r="H69" s="100">
        <f t="shared" si="66"/>
        <v>1.0309278350515464E-2</v>
      </c>
      <c r="I69" s="258"/>
      <c r="J69" s="103">
        <v>98</v>
      </c>
      <c r="K69" s="103"/>
      <c r="L69" s="104">
        <f t="shared" si="81"/>
        <v>-98</v>
      </c>
      <c r="M69" s="100">
        <f t="shared" si="69"/>
        <v>-1</v>
      </c>
      <c r="N69" s="258"/>
      <c r="O69" s="103">
        <v>99</v>
      </c>
      <c r="P69" s="103"/>
      <c r="Q69" s="104">
        <f t="shared" si="82"/>
        <v>-99</v>
      </c>
      <c r="R69" s="100">
        <f t="shared" si="72"/>
        <v>-1</v>
      </c>
      <c r="S69" s="258"/>
      <c r="T69" s="275">
        <f t="shared" si="89"/>
        <v>99</v>
      </c>
      <c r="U69" s="103"/>
      <c r="V69" s="104">
        <f t="shared" si="83"/>
        <v>-99</v>
      </c>
      <c r="W69" s="100">
        <f t="shared" si="75"/>
        <v>-1</v>
      </c>
      <c r="X69" s="258"/>
    </row>
    <row r="70" spans="1:24" ht="18" customHeight="1" x14ac:dyDescent="0.2">
      <c r="A70" s="272" t="s">
        <v>193</v>
      </c>
      <c r="B70" s="89" t="s">
        <v>521</v>
      </c>
      <c r="C70" s="277">
        <v>18</v>
      </c>
      <c r="D70" s="277">
        <v>18</v>
      </c>
      <c r="E70" s="103">
        <v>18</v>
      </c>
      <c r="F70" s="466">
        <v>17.670000000000002</v>
      </c>
      <c r="G70" s="104">
        <f t="shared" si="65"/>
        <v>-0.32999999999999829</v>
      </c>
      <c r="H70" s="100">
        <f t="shared" si="66"/>
        <v>-1.833333333333324E-2</v>
      </c>
      <c r="I70" s="258"/>
      <c r="J70" s="103">
        <v>18</v>
      </c>
      <c r="K70" s="103"/>
      <c r="L70" s="104">
        <f t="shared" si="81"/>
        <v>-18</v>
      </c>
      <c r="M70" s="100">
        <f t="shared" si="69"/>
        <v>-1</v>
      </c>
      <c r="N70" s="258"/>
      <c r="O70" s="103">
        <v>18</v>
      </c>
      <c r="P70" s="103"/>
      <c r="Q70" s="104">
        <f t="shared" si="82"/>
        <v>-18</v>
      </c>
      <c r="R70" s="100">
        <f t="shared" si="72"/>
        <v>-1</v>
      </c>
      <c r="S70" s="258"/>
      <c r="T70" s="275">
        <f t="shared" si="89"/>
        <v>18</v>
      </c>
      <c r="U70" s="103"/>
      <c r="V70" s="104">
        <f t="shared" si="83"/>
        <v>-18</v>
      </c>
      <c r="W70" s="100">
        <f t="shared" si="75"/>
        <v>-1</v>
      </c>
      <c r="X70" s="258"/>
    </row>
    <row r="71" spans="1:24" ht="18" customHeight="1" x14ac:dyDescent="0.2">
      <c r="A71" s="272" t="s">
        <v>192</v>
      </c>
      <c r="B71" s="89" t="s">
        <v>522</v>
      </c>
      <c r="C71" s="277">
        <v>235</v>
      </c>
      <c r="D71" s="277">
        <v>234</v>
      </c>
      <c r="E71" s="103">
        <v>236</v>
      </c>
      <c r="F71" s="466">
        <v>236</v>
      </c>
      <c r="G71" s="104">
        <f t="shared" si="65"/>
        <v>0</v>
      </c>
      <c r="H71" s="100">
        <f t="shared" si="66"/>
        <v>0</v>
      </c>
      <c r="I71" s="258"/>
      <c r="J71" s="103">
        <v>235</v>
      </c>
      <c r="K71" s="103"/>
      <c r="L71" s="104">
        <f t="shared" si="81"/>
        <v>-235</v>
      </c>
      <c r="M71" s="100">
        <f t="shared" si="69"/>
        <v>-1</v>
      </c>
      <c r="N71" s="258"/>
      <c r="O71" s="103">
        <v>235</v>
      </c>
      <c r="P71" s="103"/>
      <c r="Q71" s="104">
        <f t="shared" si="82"/>
        <v>-235</v>
      </c>
      <c r="R71" s="100">
        <f t="shared" si="72"/>
        <v>-1</v>
      </c>
      <c r="S71" s="258"/>
      <c r="T71" s="275">
        <f t="shared" si="89"/>
        <v>234</v>
      </c>
      <c r="U71" s="103"/>
      <c r="V71" s="104">
        <f t="shared" si="83"/>
        <v>-234</v>
      </c>
      <c r="W71" s="100">
        <f t="shared" si="75"/>
        <v>-1</v>
      </c>
      <c r="X71" s="258"/>
    </row>
    <row r="72" spans="1:24" ht="18" customHeight="1" x14ac:dyDescent="0.2">
      <c r="A72" s="284" t="s">
        <v>191</v>
      </c>
      <c r="B72" s="151" t="s">
        <v>523</v>
      </c>
      <c r="C72" s="141">
        <f>IFERROR((C73*C67+C74*C68+C75*C69+C76*C70+C77*C71)/C66, "-")</f>
        <v>1232.2076923076922</v>
      </c>
      <c r="D72" s="141">
        <f t="shared" ref="D72:F72" si="90">IFERROR((D73*D67+D74*D68+D75*D69+D76*D70+D77*D71)/D66, "-")</f>
        <v>1340.3088512241054</v>
      </c>
      <c r="E72" s="141">
        <f t="shared" si="90"/>
        <v>1246.0526315789473</v>
      </c>
      <c r="F72" s="475">
        <f t="shared" si="90"/>
        <v>1203.4996741509433</v>
      </c>
      <c r="G72" s="144">
        <f t="shared" si="65"/>
        <v>-42.552957428003992</v>
      </c>
      <c r="H72" s="145">
        <f t="shared" si="66"/>
        <v>-3.4150208706740272E-2</v>
      </c>
      <c r="I72" s="292"/>
      <c r="J72" s="141">
        <f t="shared" ref="J72:K72" si="91">IFERROR((J73*J67+J74*J68+J75*J69+J76*J70+J77*J71)/J66, "-")</f>
        <v>1303.922641509434</v>
      </c>
      <c r="K72" s="141" t="str">
        <f t="shared" si="91"/>
        <v>-</v>
      </c>
      <c r="L72" s="144"/>
      <c r="M72" s="145">
        <f t="shared" si="69"/>
        <v>0</v>
      </c>
      <c r="N72" s="292"/>
      <c r="O72" s="141">
        <f t="shared" ref="O72:P72" si="92">IFERROR((O73*O67+O74*O68+O75*O69+O76*O70+O77*O71)/O66, "-")</f>
        <v>1332.4764595103579</v>
      </c>
      <c r="P72" s="141" t="str">
        <f t="shared" si="92"/>
        <v>-</v>
      </c>
      <c r="Q72" s="144"/>
      <c r="R72" s="145">
        <f t="shared" si="72"/>
        <v>0</v>
      </c>
      <c r="S72" s="292"/>
      <c r="T72" s="141">
        <f t="shared" ref="T72:U72" si="93">IFERROR((T73*T67+T74*T68+T75*T69+T76*T70+T77*T71)/T66, "-")</f>
        <v>1340.3088512241054</v>
      </c>
      <c r="U72" s="141" t="str">
        <f t="shared" si="93"/>
        <v>-</v>
      </c>
      <c r="V72" s="144"/>
      <c r="W72" s="145">
        <f t="shared" si="75"/>
        <v>0</v>
      </c>
      <c r="X72" s="292"/>
    </row>
    <row r="73" spans="1:24" ht="18" customHeight="1" x14ac:dyDescent="0.2">
      <c r="A73" s="272" t="s">
        <v>190</v>
      </c>
      <c r="B73" s="293" t="s">
        <v>518</v>
      </c>
      <c r="C73" s="103">
        <v>2068</v>
      </c>
      <c r="D73" s="103">
        <v>2335</v>
      </c>
      <c r="E73" s="275">
        <v>2101</v>
      </c>
      <c r="F73" s="470">
        <v>2018.39</v>
      </c>
      <c r="G73" s="276">
        <f t="shared" si="65"/>
        <v>-82.6099999999999</v>
      </c>
      <c r="H73" s="100">
        <f t="shared" si="66"/>
        <v>-3.9319371727748645E-2</v>
      </c>
      <c r="I73" s="258"/>
      <c r="J73" s="275">
        <v>2229</v>
      </c>
      <c r="K73" s="275"/>
      <c r="L73" s="276">
        <f t="shared" si="81"/>
        <v>-2229</v>
      </c>
      <c r="M73" s="100">
        <f t="shared" si="69"/>
        <v>-1</v>
      </c>
      <c r="N73" s="258"/>
      <c r="O73" s="275">
        <v>2334</v>
      </c>
      <c r="P73" s="275"/>
      <c r="Q73" s="276">
        <f t="shared" si="82"/>
        <v>-2334</v>
      </c>
      <c r="R73" s="100">
        <f t="shared" si="72"/>
        <v>-1</v>
      </c>
      <c r="S73" s="258"/>
      <c r="T73" s="275">
        <f>D73</f>
        <v>2335</v>
      </c>
      <c r="U73" s="275"/>
      <c r="V73" s="276">
        <f t="shared" si="83"/>
        <v>-2335</v>
      </c>
      <c r="W73" s="100">
        <f t="shared" si="75"/>
        <v>-1</v>
      </c>
      <c r="X73" s="258"/>
    </row>
    <row r="74" spans="1:24" ht="18" customHeight="1" x14ac:dyDescent="0.2">
      <c r="A74" s="272" t="s">
        <v>189</v>
      </c>
      <c r="B74" s="293" t="s">
        <v>519</v>
      </c>
      <c r="C74" s="103">
        <v>1565</v>
      </c>
      <c r="D74" s="103">
        <v>1563</v>
      </c>
      <c r="E74" s="103">
        <v>1479</v>
      </c>
      <c r="F74" s="466">
        <v>1477.25</v>
      </c>
      <c r="G74" s="104">
        <f t="shared" si="65"/>
        <v>-1.75</v>
      </c>
      <c r="H74" s="100">
        <f t="shared" si="66"/>
        <v>-1.1832319134550372E-3</v>
      </c>
      <c r="I74" s="258"/>
      <c r="J74" s="103">
        <v>1547</v>
      </c>
      <c r="K74" s="103"/>
      <c r="L74" s="104">
        <f t="shared" si="81"/>
        <v>-1547</v>
      </c>
      <c r="M74" s="100">
        <f t="shared" si="69"/>
        <v>-1</v>
      </c>
      <c r="N74" s="258"/>
      <c r="O74" s="103">
        <v>1556</v>
      </c>
      <c r="P74" s="103"/>
      <c r="Q74" s="104">
        <f t="shared" si="82"/>
        <v>-1556</v>
      </c>
      <c r="R74" s="100">
        <f t="shared" si="72"/>
        <v>-1</v>
      </c>
      <c r="S74" s="258"/>
      <c r="T74" s="275">
        <f t="shared" ref="T74:T77" si="94">D74</f>
        <v>1563</v>
      </c>
      <c r="U74" s="103"/>
      <c r="V74" s="104">
        <f t="shared" si="83"/>
        <v>-1563</v>
      </c>
      <c r="W74" s="100">
        <f t="shared" si="75"/>
        <v>-1</v>
      </c>
      <c r="X74" s="258"/>
    </row>
    <row r="75" spans="1:24" ht="18" customHeight="1" x14ac:dyDescent="0.2">
      <c r="A75" s="272" t="s">
        <v>188</v>
      </c>
      <c r="B75" s="89" t="s">
        <v>520</v>
      </c>
      <c r="C75" s="277">
        <v>1012</v>
      </c>
      <c r="D75" s="277">
        <v>1092</v>
      </c>
      <c r="E75" s="103">
        <v>995</v>
      </c>
      <c r="F75" s="466">
        <v>948.41</v>
      </c>
      <c r="G75" s="104">
        <f t="shared" si="65"/>
        <v>-46.590000000000032</v>
      </c>
      <c r="H75" s="100">
        <f t="shared" si="66"/>
        <v>-4.6824120603015107E-2</v>
      </c>
      <c r="I75" s="258"/>
      <c r="J75" s="103">
        <v>1071</v>
      </c>
      <c r="K75" s="103"/>
      <c r="L75" s="104">
        <f t="shared" si="81"/>
        <v>-1071</v>
      </c>
      <c r="M75" s="100">
        <f t="shared" si="69"/>
        <v>-1</v>
      </c>
      <c r="N75" s="258"/>
      <c r="O75" s="103">
        <v>1091</v>
      </c>
      <c r="P75" s="103"/>
      <c r="Q75" s="104">
        <f t="shared" si="82"/>
        <v>-1091</v>
      </c>
      <c r="R75" s="100">
        <f t="shared" si="72"/>
        <v>-1</v>
      </c>
      <c r="S75" s="258"/>
      <c r="T75" s="275">
        <f t="shared" si="94"/>
        <v>1092</v>
      </c>
      <c r="U75" s="103"/>
      <c r="V75" s="104">
        <f t="shared" si="83"/>
        <v>-1092</v>
      </c>
      <c r="W75" s="100">
        <f t="shared" si="75"/>
        <v>-1</v>
      </c>
      <c r="X75" s="258"/>
    </row>
    <row r="76" spans="1:24" ht="18" customHeight="1" x14ac:dyDescent="0.2">
      <c r="A76" s="272" t="s">
        <v>187</v>
      </c>
      <c r="B76" s="89" t="s">
        <v>521</v>
      </c>
      <c r="C76" s="277">
        <v>2225</v>
      </c>
      <c r="D76" s="277">
        <v>2508</v>
      </c>
      <c r="E76" s="103">
        <v>2463</v>
      </c>
      <c r="F76" s="466">
        <v>2382.44</v>
      </c>
      <c r="G76" s="104">
        <f t="shared" si="65"/>
        <v>-80.559999999999945</v>
      </c>
      <c r="H76" s="100">
        <f t="shared" si="66"/>
        <v>-3.2708079577750689E-2</v>
      </c>
      <c r="I76" s="258"/>
      <c r="J76" s="103">
        <v>2477</v>
      </c>
      <c r="K76" s="103"/>
      <c r="L76" s="104">
        <f t="shared" si="81"/>
        <v>-2477</v>
      </c>
      <c r="M76" s="100">
        <f t="shared" si="69"/>
        <v>-1</v>
      </c>
      <c r="N76" s="258"/>
      <c r="O76" s="103">
        <v>2493</v>
      </c>
      <c r="P76" s="103"/>
      <c r="Q76" s="104">
        <f t="shared" si="82"/>
        <v>-2493</v>
      </c>
      <c r="R76" s="100">
        <f t="shared" si="72"/>
        <v>-1</v>
      </c>
      <c r="S76" s="258"/>
      <c r="T76" s="275">
        <f t="shared" si="94"/>
        <v>2508</v>
      </c>
      <c r="U76" s="103"/>
      <c r="V76" s="104">
        <f t="shared" si="83"/>
        <v>-2508</v>
      </c>
      <c r="W76" s="100">
        <f t="shared" si="75"/>
        <v>-1</v>
      </c>
      <c r="X76" s="258"/>
    </row>
    <row r="77" spans="1:24" ht="18" customHeight="1" x14ac:dyDescent="0.2">
      <c r="A77" s="272" t="s">
        <v>186</v>
      </c>
      <c r="B77" s="89" t="s">
        <v>522</v>
      </c>
      <c r="C77" s="277">
        <v>849</v>
      </c>
      <c r="D77" s="277">
        <v>950</v>
      </c>
      <c r="E77" s="103">
        <v>888</v>
      </c>
      <c r="F77" s="466">
        <v>851.5</v>
      </c>
      <c r="G77" s="104">
        <f t="shared" si="65"/>
        <v>-36.5</v>
      </c>
      <c r="H77" s="100">
        <f t="shared" si="66"/>
        <v>-4.1103603603603607E-2</v>
      </c>
      <c r="I77" s="258"/>
      <c r="J77" s="103">
        <v>920</v>
      </c>
      <c r="K77" s="103"/>
      <c r="L77" s="104">
        <f t="shared" si="81"/>
        <v>-920</v>
      </c>
      <c r="M77" s="100">
        <f t="shared" si="69"/>
        <v>-1</v>
      </c>
      <c r="N77" s="258"/>
      <c r="O77" s="103">
        <v>940</v>
      </c>
      <c r="P77" s="103"/>
      <c r="Q77" s="104">
        <f t="shared" si="82"/>
        <v>-940</v>
      </c>
      <c r="R77" s="100">
        <f t="shared" si="72"/>
        <v>-1</v>
      </c>
      <c r="S77" s="258"/>
      <c r="T77" s="275">
        <f t="shared" si="94"/>
        <v>950</v>
      </c>
      <c r="U77" s="103"/>
      <c r="V77" s="104">
        <f t="shared" si="83"/>
        <v>-950</v>
      </c>
      <c r="W77" s="100">
        <f t="shared" si="75"/>
        <v>-1</v>
      </c>
      <c r="X77" s="258"/>
    </row>
    <row r="78" spans="1:24" ht="18" customHeight="1" x14ac:dyDescent="0.2">
      <c r="A78" s="284" t="s">
        <v>389</v>
      </c>
      <c r="B78" s="146" t="s">
        <v>390</v>
      </c>
      <c r="C78" s="295" t="s">
        <v>183</v>
      </c>
      <c r="D78" s="295" t="s">
        <v>183</v>
      </c>
      <c r="E78" s="270" t="s">
        <v>183</v>
      </c>
      <c r="F78" s="464" t="s">
        <v>183</v>
      </c>
      <c r="G78" s="254" t="s">
        <v>183</v>
      </c>
      <c r="H78" s="271" t="s">
        <v>183</v>
      </c>
      <c r="I78" s="271" t="s">
        <v>183</v>
      </c>
      <c r="J78" s="270" t="s">
        <v>183</v>
      </c>
      <c r="K78" s="254" t="s">
        <v>183</v>
      </c>
      <c r="L78" s="254" t="s">
        <v>183</v>
      </c>
      <c r="M78" s="271" t="s">
        <v>183</v>
      </c>
      <c r="N78" s="271" t="s">
        <v>183</v>
      </c>
      <c r="O78" s="270" t="s">
        <v>183</v>
      </c>
      <c r="P78" s="254" t="s">
        <v>183</v>
      </c>
      <c r="Q78" s="254" t="s">
        <v>183</v>
      </c>
      <c r="R78" s="271" t="s">
        <v>183</v>
      </c>
      <c r="S78" s="271" t="s">
        <v>183</v>
      </c>
      <c r="T78" s="270" t="s">
        <v>183</v>
      </c>
      <c r="U78" s="254" t="s">
        <v>183</v>
      </c>
      <c r="V78" s="254" t="s">
        <v>183</v>
      </c>
      <c r="W78" s="271" t="s">
        <v>183</v>
      </c>
      <c r="X78" s="271" t="s">
        <v>183</v>
      </c>
    </row>
    <row r="79" spans="1:24" ht="18" customHeight="1" x14ac:dyDescent="0.2">
      <c r="A79" s="272" t="s">
        <v>391</v>
      </c>
      <c r="B79" s="89" t="s">
        <v>392</v>
      </c>
      <c r="C79" s="296">
        <v>18</v>
      </c>
      <c r="D79" s="296">
        <v>15</v>
      </c>
      <c r="E79" s="297">
        <v>4</v>
      </c>
      <c r="F79" s="448">
        <f>ROUND(((21+25)/2)/F66*100,0)</f>
        <v>4</v>
      </c>
      <c r="G79" s="104">
        <f t="shared" ref="G79:G82" si="95">F79-E79</f>
        <v>0</v>
      </c>
      <c r="H79" s="290">
        <f>IFERROR(G79/ABS(E79), "-")</f>
        <v>0</v>
      </c>
      <c r="I79" s="258"/>
      <c r="J79" s="297">
        <v>8</v>
      </c>
      <c r="K79" s="103"/>
      <c r="L79" s="104">
        <f t="shared" ref="L79:L82" si="96">K79-J79</f>
        <v>-8</v>
      </c>
      <c r="M79" s="290">
        <f t="shared" ref="M79:M82" si="97">IFERROR(L79/ABS(J79), "-")</f>
        <v>-1</v>
      </c>
      <c r="N79" s="258"/>
      <c r="O79" s="297">
        <v>12</v>
      </c>
      <c r="P79" s="103"/>
      <c r="Q79" s="104">
        <f t="shared" ref="Q79:Q82" si="98">P79-O79</f>
        <v>-12</v>
      </c>
      <c r="R79" s="290">
        <f t="shared" ref="R79:R82" si="99">IFERROR(Q79/ABS(O79), "-")</f>
        <v>-1</v>
      </c>
      <c r="S79" s="258"/>
      <c r="T79" s="297">
        <f>D79</f>
        <v>15</v>
      </c>
      <c r="U79" s="103"/>
      <c r="V79" s="104">
        <f t="shared" ref="V79:V82" si="100">U79-T79</f>
        <v>-15</v>
      </c>
      <c r="W79" s="290">
        <f t="shared" ref="W79:W82" si="101">IFERROR(V79/ABS(T79), "-")</f>
        <v>-1</v>
      </c>
      <c r="X79" s="258"/>
    </row>
    <row r="80" spans="1:24" ht="50.1" customHeight="1" x14ac:dyDescent="0.2">
      <c r="A80" s="272" t="s">
        <v>393</v>
      </c>
      <c r="B80" s="89" t="s">
        <v>394</v>
      </c>
      <c r="C80" s="448">
        <f>7032/137</f>
        <v>51.32846715328467</v>
      </c>
      <c r="D80" s="296">
        <v>25</v>
      </c>
      <c r="E80" s="297">
        <v>5</v>
      </c>
      <c r="F80" s="466">
        <v>3</v>
      </c>
      <c r="G80" s="104">
        <f t="shared" si="95"/>
        <v>-2</v>
      </c>
      <c r="H80" s="290">
        <f t="shared" ref="H80:H82" si="102">IFERROR(G80/ABS(E80), "-")</f>
        <v>-0.4</v>
      </c>
      <c r="I80" s="487" t="s">
        <v>694</v>
      </c>
      <c r="J80" s="297">
        <v>15</v>
      </c>
      <c r="K80" s="103"/>
      <c r="L80" s="104">
        <f t="shared" si="96"/>
        <v>-15</v>
      </c>
      <c r="M80" s="290">
        <f t="shared" si="97"/>
        <v>-1</v>
      </c>
      <c r="N80" s="258"/>
      <c r="O80" s="297">
        <v>17</v>
      </c>
      <c r="P80" s="103"/>
      <c r="Q80" s="104">
        <f t="shared" si="98"/>
        <v>-17</v>
      </c>
      <c r="R80" s="290">
        <f t="shared" si="99"/>
        <v>-1</v>
      </c>
      <c r="S80" s="258"/>
      <c r="T80" s="297">
        <v>25</v>
      </c>
      <c r="U80" s="103"/>
      <c r="V80" s="104">
        <f t="shared" si="100"/>
        <v>-25</v>
      </c>
      <c r="W80" s="290">
        <f t="shared" si="101"/>
        <v>-1</v>
      </c>
      <c r="X80" s="258"/>
    </row>
    <row r="81" spans="1:24" ht="36" customHeight="1" x14ac:dyDescent="0.2">
      <c r="A81" s="272" t="s">
        <v>395</v>
      </c>
      <c r="B81" s="89" t="s">
        <v>405</v>
      </c>
      <c r="C81" s="448">
        <f>137/(C67+C68+C69)*100</f>
        <v>51.310861423220977</v>
      </c>
      <c r="D81" s="296">
        <v>15</v>
      </c>
      <c r="E81" s="297">
        <v>3</v>
      </c>
      <c r="F81" s="481">
        <f>1/(F67+F68+F69)*100</f>
        <v>0.3618861506170159</v>
      </c>
      <c r="G81" s="104">
        <f t="shared" si="95"/>
        <v>-2.6381138493829841</v>
      </c>
      <c r="H81" s="290">
        <f t="shared" si="102"/>
        <v>-0.87937128312766133</v>
      </c>
      <c r="I81" s="487" t="s">
        <v>694</v>
      </c>
      <c r="J81" s="297">
        <v>12</v>
      </c>
      <c r="K81" s="103"/>
      <c r="L81" s="104">
        <f t="shared" si="96"/>
        <v>-12</v>
      </c>
      <c r="M81" s="290">
        <f t="shared" si="97"/>
        <v>-1</v>
      </c>
      <c r="N81" s="258"/>
      <c r="O81" s="297">
        <v>13</v>
      </c>
      <c r="P81" s="103"/>
      <c r="Q81" s="104">
        <f t="shared" si="98"/>
        <v>-13</v>
      </c>
      <c r="R81" s="290">
        <f t="shared" si="99"/>
        <v>-1</v>
      </c>
      <c r="S81" s="258"/>
      <c r="T81" s="297">
        <v>15</v>
      </c>
      <c r="U81" s="103"/>
      <c r="V81" s="104">
        <f t="shared" si="100"/>
        <v>-15</v>
      </c>
      <c r="W81" s="290">
        <f t="shared" si="101"/>
        <v>-1</v>
      </c>
      <c r="X81" s="258"/>
    </row>
    <row r="82" spans="1:24" ht="34.5" customHeight="1" x14ac:dyDescent="0.2">
      <c r="A82" s="272" t="s">
        <v>396</v>
      </c>
      <c r="B82" s="89" t="s">
        <v>397</v>
      </c>
      <c r="C82" s="296">
        <v>26</v>
      </c>
      <c r="D82" s="296">
        <v>26</v>
      </c>
      <c r="E82" s="297">
        <v>26</v>
      </c>
      <c r="F82" s="466">
        <v>24</v>
      </c>
      <c r="G82" s="104">
        <f t="shared" si="95"/>
        <v>-2</v>
      </c>
      <c r="H82" s="290">
        <f t="shared" si="102"/>
        <v>-7.6923076923076927E-2</v>
      </c>
      <c r="I82" s="258"/>
      <c r="J82" s="297">
        <v>26</v>
      </c>
      <c r="K82" s="103"/>
      <c r="L82" s="104">
        <f t="shared" si="96"/>
        <v>-26</v>
      </c>
      <c r="M82" s="290">
        <f t="shared" si="97"/>
        <v>-1</v>
      </c>
      <c r="N82" s="258"/>
      <c r="O82" s="297">
        <v>26</v>
      </c>
      <c r="P82" s="103"/>
      <c r="Q82" s="104">
        <f t="shared" si="98"/>
        <v>-26</v>
      </c>
      <c r="R82" s="290">
        <f t="shared" si="99"/>
        <v>-1</v>
      </c>
      <c r="S82" s="258"/>
      <c r="T82" s="297">
        <v>26</v>
      </c>
      <c r="U82" s="103"/>
      <c r="V82" s="104">
        <f t="shared" si="100"/>
        <v>-26</v>
      </c>
      <c r="W82" s="290">
        <f t="shared" si="101"/>
        <v>-1</v>
      </c>
      <c r="X82" s="258"/>
    </row>
    <row r="83" spans="1:24" ht="18" customHeight="1" x14ac:dyDescent="0.2">
      <c r="A83" s="387" t="s">
        <v>185</v>
      </c>
      <c r="B83" s="388" t="s">
        <v>398</v>
      </c>
      <c r="C83" s="389" t="s">
        <v>183</v>
      </c>
      <c r="D83" s="389" t="s">
        <v>183</v>
      </c>
      <c r="E83" s="382" t="s">
        <v>183</v>
      </c>
      <c r="F83" s="463" t="s">
        <v>183</v>
      </c>
      <c r="G83" s="383" t="s">
        <v>183</v>
      </c>
      <c r="H83" s="384" t="s">
        <v>183</v>
      </c>
      <c r="I83" s="384" t="s">
        <v>183</v>
      </c>
      <c r="J83" s="382" t="s">
        <v>183</v>
      </c>
      <c r="K83" s="383" t="s">
        <v>183</v>
      </c>
      <c r="L83" s="383" t="s">
        <v>183</v>
      </c>
      <c r="M83" s="384" t="s">
        <v>183</v>
      </c>
      <c r="N83" s="384" t="s">
        <v>183</v>
      </c>
      <c r="O83" s="382" t="s">
        <v>183</v>
      </c>
      <c r="P83" s="383" t="s">
        <v>183</v>
      </c>
      <c r="Q83" s="383" t="s">
        <v>183</v>
      </c>
      <c r="R83" s="384" t="s">
        <v>183</v>
      </c>
      <c r="S83" s="384" t="s">
        <v>183</v>
      </c>
      <c r="T83" s="382" t="s">
        <v>183</v>
      </c>
      <c r="U83" s="383" t="s">
        <v>183</v>
      </c>
      <c r="V83" s="383" t="s">
        <v>183</v>
      </c>
      <c r="W83" s="384" t="s">
        <v>183</v>
      </c>
      <c r="X83" s="384" t="s">
        <v>183</v>
      </c>
    </row>
    <row r="84" spans="1:24" ht="18" customHeight="1" x14ac:dyDescent="0.2">
      <c r="A84" s="278" t="s">
        <v>184</v>
      </c>
      <c r="B84" s="17" t="s">
        <v>524</v>
      </c>
      <c r="C84" s="242">
        <v>27309</v>
      </c>
      <c r="D84" s="242">
        <v>27309</v>
      </c>
      <c r="E84" s="242">
        <v>27309</v>
      </c>
      <c r="F84" s="476">
        <v>27309</v>
      </c>
      <c r="G84" s="125">
        <f t="shared" ref="G84:G89" si="103">F84-E84</f>
        <v>0</v>
      </c>
      <c r="H84" s="115">
        <f t="shared" ref="H84:H89" si="104">IFERROR(G84/ABS(E84), "-")</f>
        <v>0</v>
      </c>
      <c r="I84" s="279"/>
      <c r="J84" s="242">
        <v>27309</v>
      </c>
      <c r="K84" s="124"/>
      <c r="L84" s="125">
        <f t="shared" ref="L84:L89" si="105">K84-J84</f>
        <v>-27309</v>
      </c>
      <c r="M84" s="115">
        <f t="shared" ref="M84:M89" si="106">IFERROR(L84/ABS(J84), "-")</f>
        <v>-1</v>
      </c>
      <c r="N84" s="279"/>
      <c r="O84" s="242">
        <v>27309</v>
      </c>
      <c r="P84" s="124"/>
      <c r="Q84" s="125">
        <f t="shared" ref="Q84:Q89" si="107">P84-O84</f>
        <v>-27309</v>
      </c>
      <c r="R84" s="115">
        <f t="shared" ref="R84:R89" si="108">IFERROR(Q84/ABS(O84), "-")</f>
        <v>-1</v>
      </c>
      <c r="S84" s="279"/>
      <c r="T84" s="242">
        <v>27309</v>
      </c>
      <c r="U84" s="124"/>
      <c r="V84" s="125">
        <f t="shared" ref="V84:V89" si="109">U84-T84</f>
        <v>-27309</v>
      </c>
      <c r="W84" s="115">
        <f t="shared" ref="W84:W89" si="110">IFERROR(V84/ABS(T84), "-")</f>
        <v>-1</v>
      </c>
      <c r="X84" s="279"/>
    </row>
    <row r="85" spans="1:24" ht="18" hidden="1" customHeight="1" x14ac:dyDescent="0.2">
      <c r="A85" s="278" t="s">
        <v>407</v>
      </c>
      <c r="B85" s="298" t="s">
        <v>301</v>
      </c>
      <c r="C85" s="242"/>
      <c r="D85" s="242"/>
      <c r="E85" s="124"/>
      <c r="F85" s="476"/>
      <c r="G85" s="125">
        <f t="shared" si="103"/>
        <v>0</v>
      </c>
      <c r="H85" s="115" t="str">
        <f t="shared" si="104"/>
        <v>-</v>
      </c>
      <c r="I85" s="279"/>
      <c r="J85" s="124"/>
      <c r="K85" s="124"/>
      <c r="L85" s="125">
        <f t="shared" si="105"/>
        <v>0</v>
      </c>
      <c r="M85" s="115" t="str">
        <f t="shared" si="106"/>
        <v>-</v>
      </c>
      <c r="N85" s="279"/>
      <c r="O85" s="124"/>
      <c r="P85" s="124"/>
      <c r="Q85" s="125">
        <f t="shared" si="107"/>
        <v>0</v>
      </c>
      <c r="R85" s="115" t="str">
        <f t="shared" si="108"/>
        <v>-</v>
      </c>
      <c r="S85" s="279"/>
      <c r="T85" s="124"/>
      <c r="U85" s="124"/>
      <c r="V85" s="125">
        <f t="shared" si="109"/>
        <v>0</v>
      </c>
      <c r="W85" s="115" t="str">
        <f t="shared" si="110"/>
        <v>-</v>
      </c>
      <c r="X85" s="279"/>
    </row>
    <row r="86" spans="1:24" ht="18" customHeight="1" x14ac:dyDescent="0.2">
      <c r="A86" s="278" t="s">
        <v>406</v>
      </c>
      <c r="B86" s="65" t="s">
        <v>180</v>
      </c>
      <c r="C86" s="242">
        <v>3171</v>
      </c>
      <c r="D86" s="242">
        <v>2793</v>
      </c>
      <c r="E86" s="21">
        <v>1290</v>
      </c>
      <c r="F86" s="472">
        <v>1057.5999999999999</v>
      </c>
      <c r="G86" s="125">
        <f t="shared" si="103"/>
        <v>-232.40000000000009</v>
      </c>
      <c r="H86" s="115">
        <f t="shared" si="104"/>
        <v>-0.18015503875968999</v>
      </c>
      <c r="I86" s="488" t="s">
        <v>693</v>
      </c>
      <c r="J86" s="21">
        <v>1553</v>
      </c>
      <c r="K86" s="21"/>
      <c r="L86" s="125">
        <f t="shared" si="105"/>
        <v>-1553</v>
      </c>
      <c r="M86" s="115">
        <f t="shared" si="106"/>
        <v>-1</v>
      </c>
      <c r="N86" s="279"/>
      <c r="O86" s="21">
        <v>1803</v>
      </c>
      <c r="P86" s="21"/>
      <c r="Q86" s="125">
        <f t="shared" si="107"/>
        <v>-1803</v>
      </c>
      <c r="R86" s="115">
        <f t="shared" si="108"/>
        <v>-1</v>
      </c>
      <c r="S86" s="279"/>
      <c r="T86" s="21">
        <f>D86</f>
        <v>2793</v>
      </c>
      <c r="U86" s="21"/>
      <c r="V86" s="125">
        <f t="shared" si="109"/>
        <v>-2793</v>
      </c>
      <c r="W86" s="115">
        <f t="shared" si="110"/>
        <v>-1</v>
      </c>
      <c r="X86" s="279"/>
    </row>
    <row r="87" spans="1:24" ht="18" customHeight="1" x14ac:dyDescent="0.2">
      <c r="A87" s="278" t="s">
        <v>408</v>
      </c>
      <c r="B87" s="65" t="s">
        <v>179</v>
      </c>
      <c r="C87" s="242">
        <v>668686</v>
      </c>
      <c r="D87" s="242">
        <v>656312</v>
      </c>
      <c r="E87" s="21">
        <v>182000</v>
      </c>
      <c r="F87" s="472">
        <v>179969</v>
      </c>
      <c r="G87" s="125">
        <f t="shared" si="103"/>
        <v>-2031</v>
      </c>
      <c r="H87" s="115">
        <f t="shared" si="104"/>
        <v>-1.1159340659340659E-2</v>
      </c>
      <c r="I87" s="279"/>
      <c r="J87" s="21">
        <v>325312</v>
      </c>
      <c r="K87" s="21"/>
      <c r="L87" s="125">
        <f t="shared" si="105"/>
        <v>-325312</v>
      </c>
      <c r="M87" s="115">
        <f t="shared" si="106"/>
        <v>-1</v>
      </c>
      <c r="N87" s="279"/>
      <c r="O87" s="21">
        <v>476312</v>
      </c>
      <c r="P87" s="21"/>
      <c r="Q87" s="125">
        <f t="shared" si="107"/>
        <v>-476312</v>
      </c>
      <c r="R87" s="115">
        <f t="shared" si="108"/>
        <v>-1</v>
      </c>
      <c r="S87" s="279"/>
      <c r="T87" s="21">
        <f>D87</f>
        <v>656312</v>
      </c>
      <c r="U87" s="21"/>
      <c r="V87" s="125">
        <f t="shared" si="109"/>
        <v>-656312</v>
      </c>
      <c r="W87" s="115">
        <f t="shared" si="110"/>
        <v>-1</v>
      </c>
      <c r="X87" s="279"/>
    </row>
    <row r="88" spans="1:24" ht="18" hidden="1" customHeight="1" x14ac:dyDescent="0.2">
      <c r="A88" s="278" t="s">
        <v>182</v>
      </c>
      <c r="B88" s="65" t="s">
        <v>525</v>
      </c>
      <c r="C88" s="242"/>
      <c r="D88" s="242"/>
      <c r="E88" s="21"/>
      <c r="F88" s="472"/>
      <c r="G88" s="125">
        <f t="shared" si="103"/>
        <v>0</v>
      </c>
      <c r="H88" s="115" t="str">
        <f t="shared" si="104"/>
        <v>-</v>
      </c>
      <c r="I88" s="279"/>
      <c r="J88" s="21"/>
      <c r="K88" s="21"/>
      <c r="L88" s="125">
        <f t="shared" si="105"/>
        <v>0</v>
      </c>
      <c r="M88" s="115" t="str">
        <f t="shared" si="106"/>
        <v>-</v>
      </c>
      <c r="N88" s="279"/>
      <c r="O88" s="21"/>
      <c r="P88" s="21"/>
      <c r="Q88" s="125">
        <f t="shared" si="107"/>
        <v>0</v>
      </c>
      <c r="R88" s="115" t="str">
        <f t="shared" si="108"/>
        <v>-</v>
      </c>
      <c r="S88" s="279"/>
      <c r="T88" s="21"/>
      <c r="U88" s="21"/>
      <c r="V88" s="125">
        <f t="shared" si="109"/>
        <v>0</v>
      </c>
      <c r="W88" s="115" t="str">
        <f t="shared" si="110"/>
        <v>-</v>
      </c>
      <c r="X88" s="279"/>
    </row>
    <row r="89" spans="1:24" ht="18" hidden="1" customHeight="1" x14ac:dyDescent="0.2">
      <c r="A89" s="278" t="s">
        <v>181</v>
      </c>
      <c r="B89" s="65" t="s">
        <v>526</v>
      </c>
      <c r="C89" s="242"/>
      <c r="D89" s="242"/>
      <c r="E89" s="21"/>
      <c r="F89" s="472"/>
      <c r="G89" s="125">
        <f t="shared" si="103"/>
        <v>0</v>
      </c>
      <c r="H89" s="115" t="str">
        <f t="shared" si="104"/>
        <v>-</v>
      </c>
      <c r="I89" s="279"/>
      <c r="J89" s="21"/>
      <c r="K89" s="21"/>
      <c r="L89" s="125">
        <f t="shared" si="105"/>
        <v>0</v>
      </c>
      <c r="M89" s="115" t="str">
        <f t="shared" si="106"/>
        <v>-</v>
      </c>
      <c r="N89" s="279"/>
      <c r="O89" s="21"/>
      <c r="P89" s="21"/>
      <c r="Q89" s="125">
        <f t="shared" si="107"/>
        <v>0</v>
      </c>
      <c r="R89" s="115" t="str">
        <f t="shared" si="108"/>
        <v>-</v>
      </c>
      <c r="S89" s="279"/>
      <c r="T89" s="21"/>
      <c r="U89" s="275"/>
      <c r="V89" s="104">
        <f t="shared" si="109"/>
        <v>0</v>
      </c>
      <c r="W89" s="100" t="str">
        <f t="shared" si="110"/>
        <v>-</v>
      </c>
      <c r="X89" s="258"/>
    </row>
    <row r="90" spans="1:24" ht="18" customHeight="1" x14ac:dyDescent="0.2">
      <c r="A90" s="387" t="s">
        <v>399</v>
      </c>
      <c r="B90" s="394" t="s">
        <v>400</v>
      </c>
      <c r="C90" s="357" t="s">
        <v>183</v>
      </c>
      <c r="D90" s="357" t="s">
        <v>183</v>
      </c>
      <c r="E90" s="395" t="s">
        <v>183</v>
      </c>
      <c r="F90" s="477" t="s">
        <v>183</v>
      </c>
      <c r="G90" s="383" t="s">
        <v>183</v>
      </c>
      <c r="H90" s="396" t="s">
        <v>183</v>
      </c>
      <c r="I90" s="396" t="s">
        <v>183</v>
      </c>
      <c r="J90" s="395" t="s">
        <v>183</v>
      </c>
      <c r="K90" s="395" t="s">
        <v>183</v>
      </c>
      <c r="L90" s="383" t="s">
        <v>183</v>
      </c>
      <c r="M90" s="396" t="s">
        <v>183</v>
      </c>
      <c r="N90" s="396" t="s">
        <v>183</v>
      </c>
      <c r="O90" s="395" t="s">
        <v>183</v>
      </c>
      <c r="P90" s="395" t="s">
        <v>183</v>
      </c>
      <c r="Q90" s="383" t="s">
        <v>183</v>
      </c>
      <c r="R90" s="396" t="s">
        <v>183</v>
      </c>
      <c r="S90" s="396" t="s">
        <v>183</v>
      </c>
      <c r="T90" s="395" t="s">
        <v>183</v>
      </c>
      <c r="U90" s="395" t="s">
        <v>183</v>
      </c>
      <c r="V90" s="383" t="s">
        <v>183</v>
      </c>
      <c r="W90" s="396" t="s">
        <v>183</v>
      </c>
      <c r="X90" s="396" t="s">
        <v>183</v>
      </c>
    </row>
    <row r="91" spans="1:24" ht="36" customHeight="1" x14ac:dyDescent="0.2">
      <c r="A91" s="278" t="s">
        <v>401</v>
      </c>
      <c r="B91" s="65" t="s">
        <v>527</v>
      </c>
      <c r="C91" s="451">
        <v>2.99</v>
      </c>
      <c r="D91" s="451">
        <v>2.75</v>
      </c>
      <c r="E91" s="452">
        <v>2.75</v>
      </c>
      <c r="F91" s="471">
        <f>46309.4/F17</f>
        <v>2.4573839214645794</v>
      </c>
      <c r="G91" s="461">
        <f>F91-E91</f>
        <v>-0.2926160785354206</v>
      </c>
      <c r="H91" s="454">
        <f>IFERROR(G91/ABS(E91), "-")</f>
        <v>-0.10640584674015295</v>
      </c>
      <c r="I91" s="455"/>
      <c r="J91" s="452">
        <v>2.75</v>
      </c>
      <c r="K91" s="452"/>
      <c r="L91" s="461">
        <f>K91-J91</f>
        <v>-2.75</v>
      </c>
      <c r="M91" s="454">
        <f>IFERROR(L91/ABS(J91), "-")</f>
        <v>-1</v>
      </c>
      <c r="N91" s="455"/>
      <c r="O91" s="452">
        <v>2.75</v>
      </c>
      <c r="P91" s="452"/>
      <c r="Q91" s="461">
        <f>P91-O91</f>
        <v>-2.75</v>
      </c>
      <c r="R91" s="454">
        <f>IFERROR(Q91/ABS(O91), "-")</f>
        <v>-1</v>
      </c>
      <c r="S91" s="455"/>
      <c r="T91" s="452">
        <v>2.75</v>
      </c>
      <c r="U91" s="21"/>
      <c r="V91" s="125">
        <f>U91-T91</f>
        <v>-2.75</v>
      </c>
      <c r="W91" s="115">
        <f>IFERROR(V91/ABS(T91), "-")</f>
        <v>-1</v>
      </c>
      <c r="X91" s="279"/>
    </row>
    <row r="92" spans="1:24" x14ac:dyDescent="0.2">
      <c r="A92" s="299"/>
      <c r="B92" s="247"/>
      <c r="C92" s="248"/>
      <c r="D92" s="248"/>
      <c r="E92" s="249"/>
      <c r="F92" s="478"/>
      <c r="G92" s="250"/>
      <c r="H92" s="251"/>
      <c r="I92" s="251"/>
      <c r="J92" s="249"/>
      <c r="K92" s="249"/>
      <c r="L92" s="250"/>
      <c r="M92" s="251"/>
      <c r="N92" s="251"/>
      <c r="O92" s="249"/>
      <c r="P92" s="249"/>
      <c r="Q92" s="250"/>
      <c r="R92" s="251"/>
      <c r="S92" s="251"/>
      <c r="T92" s="249"/>
      <c r="U92" s="249"/>
      <c r="V92" s="250"/>
      <c r="W92" s="251"/>
      <c r="X92" s="251"/>
    </row>
    <row r="93" spans="1:24" x14ac:dyDescent="0.2">
      <c r="A93" s="51" t="s">
        <v>497</v>
      </c>
      <c r="B93" s="247"/>
      <c r="C93" s="248"/>
      <c r="D93" s="248"/>
      <c r="E93" s="249"/>
      <c r="F93" s="478"/>
      <c r="G93" s="250"/>
      <c r="H93" s="251"/>
      <c r="I93" s="251"/>
      <c r="J93" s="249"/>
      <c r="K93" s="249"/>
      <c r="L93" s="250"/>
      <c r="M93" s="251"/>
      <c r="N93" s="251"/>
      <c r="O93" s="249"/>
      <c r="P93" s="249"/>
      <c r="Q93" s="250"/>
      <c r="R93" s="251"/>
      <c r="S93" s="251"/>
      <c r="T93" s="249"/>
      <c r="U93" s="249"/>
      <c r="V93" s="250"/>
      <c r="W93" s="251"/>
      <c r="X93" s="251"/>
    </row>
    <row r="94" spans="1:24" s="13" customFormat="1" ht="31.5" customHeight="1" x14ac:dyDescent="0.2">
      <c r="A94" s="553" t="s">
        <v>574</v>
      </c>
      <c r="B94" s="553"/>
      <c r="C94" s="553"/>
      <c r="D94" s="553"/>
      <c r="E94" s="553"/>
      <c r="F94" s="553"/>
      <c r="G94" s="553"/>
      <c r="H94" s="553"/>
      <c r="I94" s="553"/>
      <c r="J94" s="300"/>
      <c r="K94" s="300"/>
      <c r="L94" s="300"/>
      <c r="M94" s="300"/>
      <c r="N94" s="300"/>
      <c r="O94" s="300"/>
      <c r="P94" s="300"/>
      <c r="Q94" s="300"/>
      <c r="R94" s="300"/>
      <c r="S94" s="300"/>
      <c r="T94" s="300"/>
      <c r="U94" s="300"/>
      <c r="V94" s="300"/>
      <c r="W94" s="300"/>
      <c r="X94" s="300"/>
    </row>
    <row r="95" spans="1:24" s="13" customFormat="1" ht="18.75" customHeight="1" x14ac:dyDescent="0.2">
      <c r="A95" s="553" t="s">
        <v>575</v>
      </c>
      <c r="B95" s="553"/>
      <c r="C95" s="553"/>
      <c r="D95" s="553"/>
      <c r="E95" s="553"/>
      <c r="F95" s="553"/>
      <c r="G95" s="553"/>
      <c r="H95" s="553"/>
      <c r="I95" s="553"/>
      <c r="J95" s="300"/>
      <c r="K95" s="300"/>
      <c r="L95" s="300"/>
      <c r="M95" s="300"/>
      <c r="N95" s="300"/>
      <c r="O95" s="300"/>
      <c r="P95" s="300"/>
      <c r="Q95" s="300"/>
      <c r="R95" s="300"/>
      <c r="S95" s="300"/>
      <c r="T95" s="300"/>
      <c r="U95" s="300"/>
      <c r="V95" s="300"/>
      <c r="W95" s="300"/>
      <c r="X95" s="300"/>
    </row>
    <row r="96" spans="1:24" s="13" customFormat="1" ht="18" customHeight="1" x14ac:dyDescent="0.2">
      <c r="A96" s="553" t="s">
        <v>576</v>
      </c>
      <c r="B96" s="553"/>
      <c r="C96" s="553"/>
      <c r="D96" s="553"/>
      <c r="E96" s="553"/>
      <c r="F96" s="553"/>
      <c r="G96" s="553"/>
      <c r="H96" s="553"/>
      <c r="I96" s="553"/>
      <c r="J96" s="300"/>
      <c r="K96" s="300"/>
      <c r="L96" s="300"/>
      <c r="M96" s="300"/>
      <c r="N96" s="300"/>
      <c r="O96" s="300"/>
      <c r="P96" s="300"/>
      <c r="Q96" s="300"/>
      <c r="R96" s="300"/>
      <c r="S96" s="300"/>
      <c r="T96" s="300"/>
      <c r="U96" s="300"/>
      <c r="V96" s="300"/>
      <c r="W96" s="300"/>
      <c r="X96" s="300"/>
    </row>
    <row r="97" spans="1:24" s="13" customFormat="1" ht="36" customHeight="1" x14ac:dyDescent="0.2">
      <c r="A97" s="553" t="s">
        <v>577</v>
      </c>
      <c r="B97" s="553"/>
      <c r="C97" s="553"/>
      <c r="D97" s="553"/>
      <c r="E97" s="553"/>
      <c r="F97" s="553"/>
      <c r="G97" s="553"/>
      <c r="H97" s="553"/>
      <c r="I97" s="553"/>
      <c r="J97" s="300"/>
      <c r="K97" s="300"/>
      <c r="L97" s="300"/>
      <c r="M97" s="300"/>
      <c r="N97" s="300"/>
      <c r="O97" s="300"/>
      <c r="P97" s="300"/>
      <c r="Q97" s="300"/>
      <c r="R97" s="300"/>
      <c r="S97" s="300"/>
      <c r="T97" s="300"/>
      <c r="U97" s="300"/>
      <c r="V97" s="300"/>
      <c r="W97" s="300"/>
      <c r="X97" s="300"/>
    </row>
    <row r="98" spans="1:24" s="13" customFormat="1" ht="18" customHeight="1" x14ac:dyDescent="0.2">
      <c r="A98" s="553" t="s">
        <v>578</v>
      </c>
      <c r="B98" s="553"/>
      <c r="C98" s="553"/>
      <c r="D98" s="553"/>
      <c r="E98" s="553"/>
      <c r="F98" s="553"/>
      <c r="G98" s="553"/>
      <c r="H98" s="553"/>
      <c r="I98" s="553"/>
      <c r="J98" s="300"/>
      <c r="K98" s="300"/>
      <c r="L98" s="300"/>
      <c r="M98" s="300"/>
      <c r="N98" s="300"/>
      <c r="O98" s="300"/>
      <c r="P98" s="300"/>
      <c r="Q98" s="300"/>
      <c r="R98" s="300"/>
      <c r="S98" s="300"/>
      <c r="T98" s="300"/>
      <c r="U98" s="300"/>
      <c r="V98" s="300"/>
      <c r="W98" s="300"/>
      <c r="X98" s="300"/>
    </row>
    <row r="99" spans="1:24" s="13" customFormat="1" ht="33.6" customHeight="1" x14ac:dyDescent="0.2">
      <c r="A99" s="553" t="s">
        <v>579</v>
      </c>
      <c r="B99" s="553"/>
      <c r="C99" s="553"/>
      <c r="D99" s="553"/>
      <c r="E99" s="553"/>
      <c r="F99" s="553"/>
      <c r="G99" s="553"/>
      <c r="H99" s="553"/>
      <c r="I99" s="553"/>
      <c r="J99" s="300"/>
      <c r="K99" s="300"/>
      <c r="L99" s="300"/>
      <c r="M99" s="300"/>
      <c r="N99" s="300"/>
      <c r="O99" s="300"/>
      <c r="P99" s="300"/>
      <c r="Q99" s="300"/>
      <c r="R99" s="300"/>
      <c r="S99" s="300"/>
      <c r="T99" s="300"/>
      <c r="U99" s="300"/>
      <c r="V99" s="300"/>
      <c r="W99" s="300"/>
      <c r="X99" s="300"/>
    </row>
    <row r="100" spans="1:24" s="13" customFormat="1" x14ac:dyDescent="0.2">
      <c r="A100" s="553" t="s">
        <v>580</v>
      </c>
      <c r="B100" s="553"/>
      <c r="C100" s="553"/>
      <c r="D100" s="553"/>
      <c r="E100" s="553"/>
      <c r="F100" s="553"/>
      <c r="G100" s="553"/>
      <c r="H100" s="553"/>
      <c r="I100" s="553"/>
      <c r="J100" s="300"/>
      <c r="K100" s="300"/>
      <c r="L100" s="300"/>
      <c r="M100" s="300"/>
      <c r="N100" s="300"/>
      <c r="O100" s="300"/>
      <c r="P100" s="300"/>
      <c r="Q100" s="300"/>
      <c r="R100" s="300"/>
      <c r="S100" s="300"/>
      <c r="T100" s="300"/>
      <c r="U100" s="300"/>
      <c r="V100" s="300"/>
      <c r="W100" s="300"/>
      <c r="X100" s="300"/>
    </row>
    <row r="101" spans="1:24" s="13" customFormat="1" ht="29.1" customHeight="1" x14ac:dyDescent="0.2">
      <c r="A101" s="554" t="s">
        <v>581</v>
      </c>
      <c r="B101" s="554"/>
      <c r="C101" s="554"/>
      <c r="D101" s="554"/>
      <c r="E101" s="554"/>
      <c r="F101" s="554"/>
      <c r="G101" s="554"/>
      <c r="H101" s="554"/>
      <c r="I101" s="554"/>
      <c r="J101" s="300"/>
      <c r="K101" s="300"/>
      <c r="L101" s="300"/>
      <c r="M101" s="300"/>
      <c r="N101" s="300"/>
      <c r="O101" s="300"/>
      <c r="P101" s="300"/>
      <c r="Q101" s="300"/>
      <c r="R101" s="300"/>
      <c r="S101" s="300"/>
      <c r="T101" s="300"/>
      <c r="U101" s="300"/>
      <c r="V101" s="300"/>
      <c r="W101" s="300"/>
      <c r="X101" s="300"/>
    </row>
    <row r="102" spans="1:24" s="13" customFormat="1" ht="31.5" customHeight="1" x14ac:dyDescent="0.2">
      <c r="A102" s="553" t="s">
        <v>582</v>
      </c>
      <c r="B102" s="553"/>
      <c r="C102" s="553"/>
      <c r="D102" s="553"/>
      <c r="E102" s="553"/>
      <c r="F102" s="553"/>
      <c r="G102" s="553"/>
      <c r="H102" s="553"/>
      <c r="I102" s="553"/>
      <c r="J102" s="300"/>
      <c r="K102" s="300"/>
      <c r="L102" s="300"/>
      <c r="M102" s="300"/>
      <c r="N102" s="300"/>
      <c r="O102" s="300"/>
      <c r="P102" s="300"/>
      <c r="Q102" s="300"/>
      <c r="R102" s="300"/>
      <c r="S102" s="300"/>
      <c r="T102" s="300"/>
      <c r="U102" s="300"/>
      <c r="V102" s="300"/>
      <c r="W102" s="300"/>
      <c r="X102" s="300"/>
    </row>
    <row r="103" spans="1:24" s="13" customFormat="1" ht="54.95" customHeight="1" x14ac:dyDescent="0.2">
      <c r="A103" s="553" t="s">
        <v>583</v>
      </c>
      <c r="B103" s="553"/>
      <c r="C103" s="553"/>
      <c r="D103" s="553"/>
      <c r="E103" s="553"/>
      <c r="F103" s="553"/>
      <c r="G103" s="553"/>
      <c r="H103" s="553"/>
      <c r="I103" s="553"/>
      <c r="J103" s="300"/>
      <c r="K103" s="300"/>
      <c r="L103" s="300"/>
      <c r="M103" s="300"/>
      <c r="N103" s="300"/>
      <c r="O103" s="300"/>
      <c r="P103" s="300"/>
      <c r="Q103" s="300"/>
      <c r="R103" s="300"/>
      <c r="S103" s="300"/>
      <c r="T103" s="300"/>
      <c r="U103" s="300"/>
      <c r="V103" s="300"/>
      <c r="W103" s="300"/>
      <c r="X103" s="300"/>
    </row>
    <row r="104" spans="1:24" s="13" customFormat="1" ht="38.1" customHeight="1" x14ac:dyDescent="0.2">
      <c r="A104" s="553" t="s">
        <v>584</v>
      </c>
      <c r="B104" s="553"/>
      <c r="C104" s="553"/>
      <c r="D104" s="553"/>
      <c r="E104" s="553"/>
      <c r="F104" s="553"/>
      <c r="G104" s="553"/>
      <c r="H104" s="553"/>
      <c r="I104" s="553"/>
      <c r="J104" s="300"/>
      <c r="K104" s="300"/>
      <c r="L104" s="300"/>
      <c r="M104" s="300"/>
      <c r="N104" s="300"/>
      <c r="O104" s="300"/>
      <c r="P104" s="300"/>
      <c r="Q104" s="300"/>
      <c r="R104" s="300"/>
      <c r="S104" s="300"/>
      <c r="T104" s="300"/>
      <c r="U104" s="300"/>
      <c r="V104" s="300"/>
      <c r="W104" s="300"/>
      <c r="X104" s="300"/>
    </row>
    <row r="105" spans="1:24" ht="31.5" customHeight="1" x14ac:dyDescent="0.2">
      <c r="A105" s="534" t="s">
        <v>586</v>
      </c>
      <c r="B105" s="534"/>
      <c r="C105" s="534"/>
      <c r="D105" s="534"/>
      <c r="E105" s="534"/>
      <c r="F105" s="534"/>
      <c r="G105" s="534"/>
      <c r="H105" s="534"/>
      <c r="I105" s="534"/>
      <c r="J105" s="54"/>
      <c r="K105" s="54"/>
      <c r="L105" s="54"/>
      <c r="M105" s="87"/>
      <c r="N105" s="87"/>
      <c r="O105" s="54"/>
      <c r="P105" s="54"/>
      <c r="Q105" s="54"/>
      <c r="R105" s="87"/>
      <c r="S105" s="87"/>
      <c r="T105" s="54"/>
      <c r="U105" s="54"/>
      <c r="V105" s="54"/>
      <c r="W105" s="87"/>
      <c r="X105" s="87"/>
    </row>
  </sheetData>
  <sheetProtection formatColumns="0" formatRows="0"/>
  <mergeCells count="12">
    <mergeCell ref="A105:I105"/>
    <mergeCell ref="A99:I99"/>
    <mergeCell ref="A94:I94"/>
    <mergeCell ref="A95:I95"/>
    <mergeCell ref="A96:I96"/>
    <mergeCell ref="A97:I97"/>
    <mergeCell ref="A98:I98"/>
    <mergeCell ref="A104:I104"/>
    <mergeCell ref="A100:I100"/>
    <mergeCell ref="A101:I101"/>
    <mergeCell ref="A102:I102"/>
    <mergeCell ref="A103:I103"/>
  </mergeCells>
  <pageMargins left="0.23622047244094491" right="0.23622047244094491" top="0.74803149606299213" bottom="0.74803149606299213" header="0.31496062992125984" footer="0.31496062992125984"/>
  <pageSetup paperSize="9" scale="54" fitToHeight="0" orientation="landscape" horizontalDpi="4294967293" r:id="rId1"/>
  <headerFooter>
    <oddHeader xml:space="preserve">&amp;C&amp;"Times New Roman,Bold"&amp;14Naturālie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0"/>
  <sheetViews>
    <sheetView view="pageBreakPreview" zoomScale="70" zoomScaleNormal="100" zoomScaleSheetLayoutView="70" workbookViewId="0">
      <pane ySplit="1" topLeftCell="A2" activePane="bottomLeft" state="frozen"/>
      <selection activeCell="K45" sqref="K45"/>
      <selection pane="bottomLeft" activeCell="K45" sqref="K45"/>
    </sheetView>
  </sheetViews>
  <sheetFormatPr defaultColWidth="7.7109375" defaultRowHeight="15.75" outlineLevelCol="1" x14ac:dyDescent="0.25"/>
  <cols>
    <col min="1" max="1" width="8.140625" style="301" customWidth="1"/>
    <col min="2" max="2" width="41.140625" style="301" customWidth="1"/>
    <col min="3" max="3" width="18.28515625" style="301" bestFit="1" customWidth="1"/>
    <col min="4" max="4" width="15.28515625" style="301" customWidth="1"/>
    <col min="5" max="5" width="18" style="301" bestFit="1" customWidth="1"/>
    <col min="6" max="6" width="17.28515625" style="301" hidden="1" customWidth="1" outlineLevel="1"/>
    <col min="7" max="8" width="18.7109375" style="301" hidden="1" customWidth="1" outlineLevel="1"/>
    <col min="9" max="9" width="19" style="301" hidden="1" customWidth="1" outlineLevel="1"/>
    <col min="10" max="10" width="18" style="301" bestFit="1" customWidth="1" collapsed="1"/>
    <col min="11" max="11" width="17.28515625" style="301" customWidth="1" outlineLevel="1"/>
    <col min="12" max="13" width="18.7109375" style="301" customWidth="1" outlineLevel="1"/>
    <col min="14" max="14" width="19" style="301" customWidth="1" outlineLevel="1"/>
    <col min="15" max="15" width="18" style="301" bestFit="1" customWidth="1"/>
    <col min="16" max="16" width="17.28515625" style="301" hidden="1" customWidth="1" outlineLevel="1"/>
    <col min="17" max="18" width="18.7109375" style="301" hidden="1" customWidth="1" outlineLevel="1"/>
    <col min="19" max="19" width="19" style="301" hidden="1" customWidth="1" outlineLevel="1"/>
    <col min="20" max="20" width="18" style="301" bestFit="1" customWidth="1" collapsed="1"/>
    <col min="21" max="21" width="17.28515625" style="301" hidden="1" customWidth="1" outlineLevel="1"/>
    <col min="22" max="23" width="18.7109375" style="301" hidden="1" customWidth="1" outlineLevel="1"/>
    <col min="24" max="24" width="19" style="301" hidden="1" customWidth="1" outlineLevel="1"/>
    <col min="25" max="25" width="9.140625" style="301" customWidth="1" collapsed="1"/>
    <col min="26" max="230" width="9.140625" style="301" customWidth="1"/>
    <col min="231" max="231" width="3.140625" style="301" customWidth="1"/>
    <col min="232" max="232" width="4.42578125" style="301" customWidth="1"/>
    <col min="233" max="233" width="26" style="301" customWidth="1"/>
    <col min="234" max="234" width="8.7109375" style="301" customWidth="1"/>
    <col min="235" max="236" width="7.7109375" style="301" customWidth="1"/>
    <col min="237" max="237" width="8.7109375" style="301" customWidth="1"/>
    <col min="238" max="239" width="7.7109375" style="301" customWidth="1"/>
    <col min="240" max="240" width="8.7109375" style="301" customWidth="1"/>
    <col min="241" max="16384" width="7.7109375" style="301"/>
  </cols>
  <sheetData>
    <row r="1" spans="1:24" ht="63" x14ac:dyDescent="0.25">
      <c r="A1" s="122" t="s">
        <v>0</v>
      </c>
      <c r="B1" s="233" t="s">
        <v>570</v>
      </c>
      <c r="C1" s="29" t="s">
        <v>637</v>
      </c>
      <c r="D1" s="29" t="s">
        <v>638</v>
      </c>
      <c r="E1" s="29" t="s">
        <v>639</v>
      </c>
      <c r="F1" s="29" t="s">
        <v>643</v>
      </c>
      <c r="G1" s="30" t="s">
        <v>409</v>
      </c>
      <c r="H1" s="31" t="s">
        <v>410</v>
      </c>
      <c r="I1" s="29" t="s">
        <v>498</v>
      </c>
      <c r="J1" s="29" t="s">
        <v>640</v>
      </c>
      <c r="K1" s="29" t="s">
        <v>703</v>
      </c>
      <c r="L1" s="30" t="s">
        <v>704</v>
      </c>
      <c r="M1" s="31" t="s">
        <v>705</v>
      </c>
      <c r="N1" s="29" t="s">
        <v>498</v>
      </c>
      <c r="O1" s="29" t="s">
        <v>641</v>
      </c>
      <c r="P1" s="29" t="s">
        <v>486</v>
      </c>
      <c r="Q1" s="30" t="s">
        <v>409</v>
      </c>
      <c r="R1" s="31" t="s">
        <v>410</v>
      </c>
      <c r="S1" s="29" t="s">
        <v>498</v>
      </c>
      <c r="T1" s="29" t="s">
        <v>642</v>
      </c>
      <c r="U1" s="29" t="s">
        <v>487</v>
      </c>
      <c r="V1" s="30" t="s">
        <v>409</v>
      </c>
      <c r="W1" s="31" t="s">
        <v>410</v>
      </c>
      <c r="X1" s="29" t="s">
        <v>498</v>
      </c>
    </row>
    <row r="2" spans="1:24" x14ac:dyDescent="0.25">
      <c r="A2" s="122">
        <v>1</v>
      </c>
      <c r="B2" s="233">
        <v>2</v>
      </c>
      <c r="C2" s="29">
        <v>3</v>
      </c>
      <c r="D2" s="29">
        <v>4</v>
      </c>
      <c r="E2" s="29">
        <v>5</v>
      </c>
      <c r="F2" s="29">
        <v>6</v>
      </c>
      <c r="G2" s="30">
        <v>7</v>
      </c>
      <c r="H2" s="32">
        <v>8</v>
      </c>
      <c r="I2" s="29">
        <v>9</v>
      </c>
      <c r="J2" s="29">
        <v>10</v>
      </c>
      <c r="K2" s="29">
        <v>11</v>
      </c>
      <c r="L2" s="30">
        <v>12</v>
      </c>
      <c r="M2" s="32">
        <v>13</v>
      </c>
      <c r="N2" s="29">
        <v>14</v>
      </c>
      <c r="O2" s="29">
        <v>15</v>
      </c>
      <c r="P2" s="29">
        <v>16</v>
      </c>
      <c r="Q2" s="30">
        <v>17</v>
      </c>
      <c r="R2" s="32">
        <v>18</v>
      </c>
      <c r="S2" s="29">
        <v>19</v>
      </c>
      <c r="T2" s="29">
        <v>20</v>
      </c>
      <c r="U2" s="29">
        <v>21</v>
      </c>
      <c r="V2" s="30">
        <v>22</v>
      </c>
      <c r="W2" s="32">
        <v>23</v>
      </c>
      <c r="X2" s="29">
        <v>24</v>
      </c>
    </row>
    <row r="3" spans="1:24" ht="18" customHeight="1" x14ac:dyDescent="0.25">
      <c r="A3" s="215">
        <v>51000</v>
      </c>
      <c r="B3" s="208" t="s">
        <v>254</v>
      </c>
      <c r="C3" s="141">
        <f>C4+C5+C6+C7</f>
        <v>489</v>
      </c>
      <c r="D3" s="141">
        <f>D4+D5+D6+D7</f>
        <v>581</v>
      </c>
      <c r="E3" s="141">
        <f>E4+E5+E6+E7</f>
        <v>581</v>
      </c>
      <c r="F3" s="141">
        <f>F4+F5+F6+F7</f>
        <v>480</v>
      </c>
      <c r="G3" s="144">
        <f>F3-E3</f>
        <v>-101</v>
      </c>
      <c r="H3" s="145">
        <f>IFERROR(G3/ABS(E3), "-")</f>
        <v>-0.17383820998278829</v>
      </c>
      <c r="I3" s="558" t="s">
        <v>696</v>
      </c>
      <c r="J3" s="141">
        <f>J4+J5+J6+J7</f>
        <v>581</v>
      </c>
      <c r="K3" s="141">
        <f>K4+K5+K6+K7</f>
        <v>0</v>
      </c>
      <c r="L3" s="144">
        <f>K3-J3</f>
        <v>-581</v>
      </c>
      <c r="M3" s="145">
        <f>IFERROR(L3/ABS(J3), "-")</f>
        <v>-1</v>
      </c>
      <c r="N3" s="555"/>
      <c r="O3" s="141">
        <f>O4+O5+O6+O7</f>
        <v>581</v>
      </c>
      <c r="P3" s="141">
        <f>P4+P5+P6+P7</f>
        <v>0</v>
      </c>
      <c r="Q3" s="144">
        <f>P3-O3</f>
        <v>-581</v>
      </c>
      <c r="R3" s="145">
        <f>IFERROR(Q3/ABS(O3), "-")</f>
        <v>-1</v>
      </c>
      <c r="S3" s="555"/>
      <c r="T3" s="141">
        <f>T4+T5+T6+T7</f>
        <v>581</v>
      </c>
      <c r="U3" s="141">
        <f>U4+U5+U6+U7</f>
        <v>0</v>
      </c>
      <c r="V3" s="144">
        <f>U3-T3</f>
        <v>-581</v>
      </c>
      <c r="W3" s="145">
        <f>IFERROR(V3/ABS(T3), "-")</f>
        <v>-1</v>
      </c>
      <c r="X3" s="555"/>
    </row>
    <row r="4" spans="1:24" ht="18" customHeight="1" x14ac:dyDescent="0.25">
      <c r="A4" s="122">
        <v>51100</v>
      </c>
      <c r="B4" s="234" t="s">
        <v>528</v>
      </c>
      <c r="C4" s="235"/>
      <c r="D4" s="235"/>
      <c r="E4" s="235"/>
      <c r="F4" s="235"/>
      <c r="G4" s="236">
        <f t="shared" ref="G4:G25" si="0">F4-E4</f>
        <v>0</v>
      </c>
      <c r="H4" s="237" t="str">
        <f t="shared" ref="H4:H25" si="1">IFERROR(G4/ABS(E4), "-")</f>
        <v>-</v>
      </c>
      <c r="I4" s="559"/>
      <c r="J4" s="235"/>
      <c r="K4" s="235"/>
      <c r="L4" s="236">
        <f t="shared" ref="L4:L25" si="2">K4-J4</f>
        <v>0</v>
      </c>
      <c r="M4" s="237" t="str">
        <f t="shared" ref="M4:M25" si="3">IFERROR(L4/ABS(J4), "-")</f>
        <v>-</v>
      </c>
      <c r="N4" s="556"/>
      <c r="O4" s="235"/>
      <c r="P4" s="235"/>
      <c r="Q4" s="236">
        <f t="shared" ref="Q4:Q25" si="4">P4-O4</f>
        <v>0</v>
      </c>
      <c r="R4" s="237" t="str">
        <f t="shared" ref="R4:R25" si="5">IFERROR(Q4/ABS(O4), "-")</f>
        <v>-</v>
      </c>
      <c r="S4" s="556"/>
      <c r="T4" s="235"/>
      <c r="U4" s="235"/>
      <c r="V4" s="236">
        <f t="shared" ref="V4:V25" si="6">U4-T4</f>
        <v>0</v>
      </c>
      <c r="W4" s="237" t="str">
        <f t="shared" ref="W4:W25" si="7">IFERROR(V4/ABS(T4), "-")</f>
        <v>-</v>
      </c>
      <c r="X4" s="556"/>
    </row>
    <row r="5" spans="1:24" ht="18" customHeight="1" x14ac:dyDescent="0.25">
      <c r="A5" s="238">
        <v>51200</v>
      </c>
      <c r="B5" s="239" t="s">
        <v>529</v>
      </c>
      <c r="C5" s="235"/>
      <c r="D5" s="235"/>
      <c r="E5" s="235"/>
      <c r="F5" s="235"/>
      <c r="G5" s="236">
        <f t="shared" si="0"/>
        <v>0</v>
      </c>
      <c r="H5" s="237" t="str">
        <f t="shared" si="1"/>
        <v>-</v>
      </c>
      <c r="I5" s="559"/>
      <c r="J5" s="235"/>
      <c r="K5" s="235"/>
      <c r="L5" s="236">
        <f t="shared" si="2"/>
        <v>0</v>
      </c>
      <c r="M5" s="237" t="str">
        <f t="shared" si="3"/>
        <v>-</v>
      </c>
      <c r="N5" s="556"/>
      <c r="O5" s="235"/>
      <c r="P5" s="235"/>
      <c r="Q5" s="236">
        <f t="shared" si="4"/>
        <v>0</v>
      </c>
      <c r="R5" s="237" t="str">
        <f t="shared" si="5"/>
        <v>-</v>
      </c>
      <c r="S5" s="556"/>
      <c r="T5" s="235"/>
      <c r="U5" s="235"/>
      <c r="V5" s="236">
        <f t="shared" si="6"/>
        <v>0</v>
      </c>
      <c r="W5" s="237" t="str">
        <f t="shared" si="7"/>
        <v>-</v>
      </c>
      <c r="X5" s="556"/>
    </row>
    <row r="6" spans="1:24" ht="36" customHeight="1" x14ac:dyDescent="0.25">
      <c r="A6" s="238">
        <v>51300</v>
      </c>
      <c r="B6" s="239" t="s">
        <v>466</v>
      </c>
      <c r="C6" s="235">
        <v>489</v>
      </c>
      <c r="D6" s="235">
        <v>581</v>
      </c>
      <c r="E6" s="235">
        <v>581</v>
      </c>
      <c r="F6" s="235">
        <v>480</v>
      </c>
      <c r="G6" s="236">
        <f t="shared" si="0"/>
        <v>-101</v>
      </c>
      <c r="H6" s="237">
        <f t="shared" si="1"/>
        <v>-0.17383820998278829</v>
      </c>
      <c r="I6" s="559"/>
      <c r="J6" s="235">
        <v>581</v>
      </c>
      <c r="K6" s="235"/>
      <c r="L6" s="236">
        <f t="shared" si="2"/>
        <v>-581</v>
      </c>
      <c r="M6" s="237">
        <f t="shared" si="3"/>
        <v>-1</v>
      </c>
      <c r="N6" s="556"/>
      <c r="O6" s="235">
        <v>581</v>
      </c>
      <c r="P6" s="235"/>
      <c r="Q6" s="236">
        <f t="shared" si="4"/>
        <v>-581</v>
      </c>
      <c r="R6" s="237">
        <f t="shared" si="5"/>
        <v>-1</v>
      </c>
      <c r="S6" s="556"/>
      <c r="T6" s="235">
        <v>581</v>
      </c>
      <c r="U6" s="235"/>
      <c r="V6" s="236">
        <f t="shared" si="6"/>
        <v>-581</v>
      </c>
      <c r="W6" s="237">
        <f t="shared" si="7"/>
        <v>-1</v>
      </c>
      <c r="X6" s="556"/>
    </row>
    <row r="7" spans="1:24" ht="18" customHeight="1" x14ac:dyDescent="0.25">
      <c r="A7" s="238">
        <v>51400</v>
      </c>
      <c r="B7" s="239" t="s">
        <v>530</v>
      </c>
      <c r="C7" s="235"/>
      <c r="D7" s="235"/>
      <c r="E7" s="235"/>
      <c r="F7" s="235"/>
      <c r="G7" s="236">
        <f t="shared" si="0"/>
        <v>0</v>
      </c>
      <c r="H7" s="237" t="str">
        <f t="shared" si="1"/>
        <v>-</v>
      </c>
      <c r="I7" s="559"/>
      <c r="J7" s="235"/>
      <c r="K7" s="235"/>
      <c r="L7" s="236">
        <f t="shared" si="2"/>
        <v>0</v>
      </c>
      <c r="M7" s="237" t="str">
        <f t="shared" si="3"/>
        <v>-</v>
      </c>
      <c r="N7" s="556"/>
      <c r="O7" s="235"/>
      <c r="P7" s="235"/>
      <c r="Q7" s="236">
        <f t="shared" si="4"/>
        <v>0</v>
      </c>
      <c r="R7" s="237" t="str">
        <f t="shared" si="5"/>
        <v>-</v>
      </c>
      <c r="S7" s="556"/>
      <c r="T7" s="235"/>
      <c r="U7" s="235"/>
      <c r="V7" s="236">
        <f t="shared" si="6"/>
        <v>0</v>
      </c>
      <c r="W7" s="237" t="str">
        <f t="shared" si="7"/>
        <v>-</v>
      </c>
      <c r="X7" s="556"/>
    </row>
    <row r="8" spans="1:24" ht="18" customHeight="1" x14ac:dyDescent="0.25">
      <c r="A8" s="215">
        <v>52000</v>
      </c>
      <c r="B8" s="208" t="s">
        <v>255</v>
      </c>
      <c r="C8" s="141">
        <f ca="1">SUM(OFFSET(C16,-1,0):OFFSET(C8,1,0))</f>
        <v>93269</v>
      </c>
      <c r="D8" s="141">
        <f ca="1">SUM(OFFSET(D16,-1,0):OFFSET(D8,1,0))</f>
        <v>651543</v>
      </c>
      <c r="E8" s="141">
        <f ca="1">SUM(OFFSET(E16,-1,0):OFFSET(E8,1,0))</f>
        <v>0</v>
      </c>
      <c r="F8" s="141">
        <f ca="1">SUM(OFFSET(F16,-1,0):OFFSET(F8,1,0))</f>
        <v>1924</v>
      </c>
      <c r="G8" s="144">
        <f t="shared" ca="1" si="0"/>
        <v>1924</v>
      </c>
      <c r="H8" s="145" t="str">
        <f t="shared" ca="1" si="1"/>
        <v>-</v>
      </c>
      <c r="I8" s="555"/>
      <c r="J8" s="141">
        <f ca="1">SUM(OFFSET(J16,-1,0):OFFSET(J8,1,0))</f>
        <v>451967</v>
      </c>
      <c r="K8" s="141">
        <f ca="1">SUM(OFFSET(K16,-1,0):OFFSET(K8,1,0))</f>
        <v>0</v>
      </c>
      <c r="L8" s="144">
        <f t="shared" ca="1" si="2"/>
        <v>-451967</v>
      </c>
      <c r="M8" s="145">
        <f t="shared" ca="1" si="3"/>
        <v>-1</v>
      </c>
      <c r="N8" s="555"/>
      <c r="O8" s="141">
        <f ca="1">SUM(OFFSET(O16,-1,0):OFFSET(O8,1,0))</f>
        <v>651543</v>
      </c>
      <c r="P8" s="141">
        <f ca="1">SUM(OFFSET(P16,-1,0):OFFSET(P8,1,0))</f>
        <v>0</v>
      </c>
      <c r="Q8" s="144">
        <f t="shared" ca="1" si="4"/>
        <v>-651543</v>
      </c>
      <c r="R8" s="145">
        <f t="shared" ca="1" si="5"/>
        <v>-1</v>
      </c>
      <c r="S8" s="555"/>
      <c r="T8" s="141">
        <f ca="1">SUM(OFFSET(T16,-1,0):OFFSET(T8,1,0))</f>
        <v>651543</v>
      </c>
      <c r="U8" s="141">
        <f ca="1">SUM(OFFSET(U16,-1,0):OFFSET(U8,1,0))</f>
        <v>0</v>
      </c>
      <c r="V8" s="144">
        <f t="shared" ca="1" si="6"/>
        <v>-651543</v>
      </c>
      <c r="W8" s="145">
        <f t="shared" ca="1" si="7"/>
        <v>-1</v>
      </c>
      <c r="X8" s="555"/>
    </row>
    <row r="9" spans="1:24" ht="18" customHeight="1" x14ac:dyDescent="0.25">
      <c r="A9" s="240">
        <v>52100</v>
      </c>
      <c r="B9" s="241" t="s">
        <v>531</v>
      </c>
      <c r="C9" s="242"/>
      <c r="D9" s="242"/>
      <c r="E9" s="124"/>
      <c r="F9" s="124"/>
      <c r="G9" s="125">
        <f t="shared" si="0"/>
        <v>0</v>
      </c>
      <c r="H9" s="36" t="str">
        <f t="shared" si="1"/>
        <v>-</v>
      </c>
      <c r="I9" s="556"/>
      <c r="J9" s="124"/>
      <c r="K9" s="124"/>
      <c r="L9" s="125">
        <f t="shared" si="2"/>
        <v>0</v>
      </c>
      <c r="M9" s="36" t="str">
        <f t="shared" si="3"/>
        <v>-</v>
      </c>
      <c r="N9" s="556"/>
      <c r="O9" s="124"/>
      <c r="P9" s="124"/>
      <c r="Q9" s="125">
        <f t="shared" si="4"/>
        <v>0</v>
      </c>
      <c r="R9" s="36" t="str">
        <f t="shared" si="5"/>
        <v>-</v>
      </c>
      <c r="S9" s="556"/>
      <c r="T9" s="124"/>
      <c r="U9" s="124"/>
      <c r="V9" s="125">
        <f t="shared" si="6"/>
        <v>0</v>
      </c>
      <c r="W9" s="36" t="str">
        <f t="shared" si="7"/>
        <v>-</v>
      </c>
      <c r="X9" s="556"/>
    </row>
    <row r="10" spans="1:24" ht="18" customHeight="1" x14ac:dyDescent="0.25">
      <c r="A10" s="240">
        <v>52200</v>
      </c>
      <c r="B10" s="241" t="s">
        <v>532</v>
      </c>
      <c r="C10" s="242"/>
      <c r="D10" s="242"/>
      <c r="E10" s="124"/>
      <c r="F10" s="124"/>
      <c r="G10" s="125">
        <f t="shared" si="0"/>
        <v>0</v>
      </c>
      <c r="H10" s="36" t="str">
        <f t="shared" si="1"/>
        <v>-</v>
      </c>
      <c r="I10" s="556"/>
      <c r="J10" s="124"/>
      <c r="K10" s="124"/>
      <c r="L10" s="125">
        <f t="shared" si="2"/>
        <v>0</v>
      </c>
      <c r="M10" s="36" t="str">
        <f t="shared" si="3"/>
        <v>-</v>
      </c>
      <c r="N10" s="556"/>
      <c r="O10" s="124"/>
      <c r="P10" s="124"/>
      <c r="Q10" s="125">
        <f t="shared" si="4"/>
        <v>0</v>
      </c>
      <c r="R10" s="36" t="str">
        <f t="shared" si="5"/>
        <v>-</v>
      </c>
      <c r="S10" s="556"/>
      <c r="T10" s="124"/>
      <c r="U10" s="124"/>
      <c r="V10" s="125">
        <f t="shared" si="6"/>
        <v>0</v>
      </c>
      <c r="W10" s="36" t="str">
        <f t="shared" si="7"/>
        <v>-</v>
      </c>
      <c r="X10" s="556"/>
    </row>
    <row r="11" spans="1:24" ht="18" customHeight="1" x14ac:dyDescent="0.25">
      <c r="A11" s="240">
        <v>52300</v>
      </c>
      <c r="B11" s="241" t="s">
        <v>533</v>
      </c>
      <c r="C11" s="242"/>
      <c r="D11" s="242"/>
      <c r="E11" s="124"/>
      <c r="F11" s="124"/>
      <c r="G11" s="125">
        <f t="shared" si="0"/>
        <v>0</v>
      </c>
      <c r="H11" s="36" t="str">
        <f t="shared" si="1"/>
        <v>-</v>
      </c>
      <c r="I11" s="556"/>
      <c r="J11" s="124"/>
      <c r="K11" s="124"/>
      <c r="L11" s="125">
        <f t="shared" si="2"/>
        <v>0</v>
      </c>
      <c r="M11" s="36" t="str">
        <f t="shared" si="3"/>
        <v>-</v>
      </c>
      <c r="N11" s="556"/>
      <c r="O11" s="124"/>
      <c r="P11" s="124"/>
      <c r="Q11" s="125">
        <f t="shared" si="4"/>
        <v>0</v>
      </c>
      <c r="R11" s="36" t="str">
        <f t="shared" si="5"/>
        <v>-</v>
      </c>
      <c r="S11" s="556"/>
      <c r="T11" s="124"/>
      <c r="U11" s="124"/>
      <c r="V11" s="125">
        <f t="shared" si="6"/>
        <v>0</v>
      </c>
      <c r="W11" s="36" t="str">
        <f t="shared" si="7"/>
        <v>-</v>
      </c>
      <c r="X11" s="556"/>
    </row>
    <row r="12" spans="1:24" ht="18" customHeight="1" x14ac:dyDescent="0.25">
      <c r="A12" s="240">
        <v>52400</v>
      </c>
      <c r="B12" s="241" t="s">
        <v>534</v>
      </c>
      <c r="C12" s="242"/>
      <c r="D12" s="242">
        <v>642043</v>
      </c>
      <c r="E12" s="124">
        <v>0</v>
      </c>
      <c r="F12" s="124"/>
      <c r="G12" s="125">
        <f t="shared" si="0"/>
        <v>0</v>
      </c>
      <c r="H12" s="36" t="str">
        <f t="shared" si="1"/>
        <v>-</v>
      </c>
      <c r="I12" s="556"/>
      <c r="J12" s="124">
        <v>450043</v>
      </c>
      <c r="K12" s="124"/>
      <c r="L12" s="125">
        <f t="shared" si="2"/>
        <v>-450043</v>
      </c>
      <c r="M12" s="36">
        <f t="shared" si="3"/>
        <v>-1</v>
      </c>
      <c r="N12" s="556"/>
      <c r="O12" s="124">
        <v>642043</v>
      </c>
      <c r="P12" s="124"/>
      <c r="Q12" s="125">
        <f t="shared" si="4"/>
        <v>-642043</v>
      </c>
      <c r="R12" s="36">
        <f t="shared" si="5"/>
        <v>-1</v>
      </c>
      <c r="S12" s="556"/>
      <c r="T12" s="124">
        <v>642043</v>
      </c>
      <c r="U12" s="124"/>
      <c r="V12" s="125">
        <f t="shared" si="6"/>
        <v>-642043</v>
      </c>
      <c r="W12" s="36">
        <f t="shared" si="7"/>
        <v>-1</v>
      </c>
      <c r="X12" s="556"/>
    </row>
    <row r="13" spans="1:24" ht="18" customHeight="1" x14ac:dyDescent="0.25">
      <c r="A13" s="240">
        <v>52500</v>
      </c>
      <c r="B13" s="241" t="s">
        <v>535</v>
      </c>
      <c r="C13" s="242"/>
      <c r="D13" s="242"/>
      <c r="E13" s="124"/>
      <c r="F13" s="124"/>
      <c r="G13" s="125">
        <f t="shared" si="0"/>
        <v>0</v>
      </c>
      <c r="H13" s="36" t="str">
        <f t="shared" si="1"/>
        <v>-</v>
      </c>
      <c r="I13" s="556"/>
      <c r="J13" s="124"/>
      <c r="K13" s="124"/>
      <c r="L13" s="125">
        <f t="shared" si="2"/>
        <v>0</v>
      </c>
      <c r="M13" s="36" t="str">
        <f t="shared" si="3"/>
        <v>-</v>
      </c>
      <c r="N13" s="556"/>
      <c r="O13" s="124"/>
      <c r="P13" s="124"/>
      <c r="Q13" s="125">
        <f t="shared" si="4"/>
        <v>0</v>
      </c>
      <c r="R13" s="36" t="str">
        <f t="shared" si="5"/>
        <v>-</v>
      </c>
      <c r="S13" s="556"/>
      <c r="T13" s="124"/>
      <c r="U13" s="124"/>
      <c r="V13" s="125">
        <f t="shared" si="6"/>
        <v>0</v>
      </c>
      <c r="W13" s="36" t="str">
        <f t="shared" si="7"/>
        <v>-</v>
      </c>
      <c r="X13" s="556"/>
    </row>
    <row r="14" spans="1:24" ht="18" customHeight="1" x14ac:dyDescent="0.25">
      <c r="A14" s="240">
        <v>52600</v>
      </c>
      <c r="B14" s="241" t="s">
        <v>253</v>
      </c>
      <c r="C14" s="242"/>
      <c r="D14" s="242"/>
      <c r="E14" s="124"/>
      <c r="F14" s="124"/>
      <c r="G14" s="125">
        <f t="shared" si="0"/>
        <v>0</v>
      </c>
      <c r="H14" s="36" t="str">
        <f t="shared" si="1"/>
        <v>-</v>
      </c>
      <c r="I14" s="556"/>
      <c r="J14" s="124"/>
      <c r="K14" s="124"/>
      <c r="L14" s="125">
        <f t="shared" si="2"/>
        <v>0</v>
      </c>
      <c r="M14" s="36" t="str">
        <f t="shared" si="3"/>
        <v>-</v>
      </c>
      <c r="N14" s="556"/>
      <c r="O14" s="124"/>
      <c r="P14" s="124"/>
      <c r="Q14" s="125">
        <f t="shared" si="4"/>
        <v>0</v>
      </c>
      <c r="R14" s="36" t="str">
        <f t="shared" si="5"/>
        <v>-</v>
      </c>
      <c r="S14" s="556"/>
      <c r="T14" s="124"/>
      <c r="U14" s="124"/>
      <c r="V14" s="125">
        <f t="shared" si="6"/>
        <v>0</v>
      </c>
      <c r="W14" s="36" t="str">
        <f t="shared" si="7"/>
        <v>-</v>
      </c>
      <c r="X14" s="556"/>
    </row>
    <row r="15" spans="1:24" ht="18" customHeight="1" x14ac:dyDescent="0.25">
      <c r="A15" s="243">
        <v>52700</v>
      </c>
      <c r="B15" s="244" t="s">
        <v>536</v>
      </c>
      <c r="C15" s="242">
        <v>93269</v>
      </c>
      <c r="D15" s="242">
        <v>9500</v>
      </c>
      <c r="E15" s="124">
        <v>0</v>
      </c>
      <c r="F15" s="124">
        <v>1924</v>
      </c>
      <c r="G15" s="125">
        <f t="shared" si="0"/>
        <v>1924</v>
      </c>
      <c r="H15" s="36" t="str">
        <f t="shared" si="1"/>
        <v>-</v>
      </c>
      <c r="I15" s="557"/>
      <c r="J15" s="124">
        <v>1924</v>
      </c>
      <c r="K15" s="124"/>
      <c r="L15" s="125">
        <f t="shared" si="2"/>
        <v>-1924</v>
      </c>
      <c r="M15" s="36">
        <f t="shared" si="3"/>
        <v>-1</v>
      </c>
      <c r="N15" s="557"/>
      <c r="O15" s="124">
        <v>9500</v>
      </c>
      <c r="P15" s="124"/>
      <c r="Q15" s="125">
        <f t="shared" si="4"/>
        <v>-9500</v>
      </c>
      <c r="R15" s="36">
        <f t="shared" si="5"/>
        <v>-1</v>
      </c>
      <c r="S15" s="557"/>
      <c r="T15" s="124">
        <v>9500</v>
      </c>
      <c r="U15" s="124"/>
      <c r="V15" s="125">
        <f t="shared" si="6"/>
        <v>-9500</v>
      </c>
      <c r="W15" s="36">
        <f t="shared" si="7"/>
        <v>-1</v>
      </c>
      <c r="X15" s="557"/>
    </row>
    <row r="16" spans="1:24" ht="18" customHeight="1" x14ac:dyDescent="0.25">
      <c r="A16" s="215">
        <v>53000</v>
      </c>
      <c r="B16" s="208" t="s">
        <v>256</v>
      </c>
      <c r="C16" s="141">
        <f>C17+C20+C21+C22+C23+C24</f>
        <v>150823</v>
      </c>
      <c r="D16" s="141">
        <f>D17+D20+D21+D22+D23+D24</f>
        <v>127505</v>
      </c>
      <c r="E16" s="141">
        <f>E17+E20+E21+E22+E23+E24</f>
        <v>11985</v>
      </c>
      <c r="F16" s="141">
        <f>F17+F20+F21+F22+F23+F24</f>
        <v>11625</v>
      </c>
      <c r="G16" s="144">
        <f t="shared" si="0"/>
        <v>-360</v>
      </c>
      <c r="H16" s="145">
        <f t="shared" si="1"/>
        <v>-3.0037546933667083E-2</v>
      </c>
      <c r="I16" s="555"/>
      <c r="J16" s="141">
        <f>J17+J20+J21+J22+J23+J24</f>
        <v>63505</v>
      </c>
      <c r="K16" s="141">
        <f>K17+K20+K21+K22+K23+K24</f>
        <v>0</v>
      </c>
      <c r="L16" s="144">
        <f t="shared" si="2"/>
        <v>-63505</v>
      </c>
      <c r="M16" s="145">
        <f t="shared" si="3"/>
        <v>-1</v>
      </c>
      <c r="N16" s="555"/>
      <c r="O16" s="141">
        <f>O17+O20+O21+O22+O23+O24</f>
        <v>76505</v>
      </c>
      <c r="P16" s="141">
        <f>P17+P20+P21+P22+P23+P24</f>
        <v>0</v>
      </c>
      <c r="Q16" s="144">
        <f t="shared" si="4"/>
        <v>-76505</v>
      </c>
      <c r="R16" s="145">
        <f t="shared" si="5"/>
        <v>-1</v>
      </c>
      <c r="S16" s="555"/>
      <c r="T16" s="141">
        <f>T17+T20+T21+T22+T23+T24</f>
        <v>127505</v>
      </c>
      <c r="U16" s="141">
        <f>U17+U20+U21+U22+U23+U24</f>
        <v>0</v>
      </c>
      <c r="V16" s="144">
        <f t="shared" si="6"/>
        <v>-127505</v>
      </c>
      <c r="W16" s="145">
        <f t="shared" si="7"/>
        <v>-1</v>
      </c>
      <c r="X16" s="555"/>
    </row>
    <row r="17" spans="1:24" ht="18" customHeight="1" x14ac:dyDescent="0.25">
      <c r="A17" s="245">
        <v>53100</v>
      </c>
      <c r="B17" s="246" t="s">
        <v>537</v>
      </c>
      <c r="C17" s="235">
        <f>C18+C19</f>
        <v>41804</v>
      </c>
      <c r="D17" s="235">
        <f>D18+D19</f>
        <v>0</v>
      </c>
      <c r="E17" s="235">
        <f>E18+E19</f>
        <v>0</v>
      </c>
      <c r="F17" s="235">
        <f>F18+F19</f>
        <v>0</v>
      </c>
      <c r="G17" s="236">
        <f t="shared" si="0"/>
        <v>0</v>
      </c>
      <c r="H17" s="237" t="str">
        <f t="shared" si="1"/>
        <v>-</v>
      </c>
      <c r="I17" s="556"/>
      <c r="J17" s="235">
        <f>J18+J19</f>
        <v>0</v>
      </c>
      <c r="K17" s="235">
        <f>K18+K19</f>
        <v>0</v>
      </c>
      <c r="L17" s="236">
        <f t="shared" si="2"/>
        <v>0</v>
      </c>
      <c r="M17" s="237" t="str">
        <f t="shared" si="3"/>
        <v>-</v>
      </c>
      <c r="N17" s="556"/>
      <c r="O17" s="235">
        <f>O18+O19</f>
        <v>0</v>
      </c>
      <c r="P17" s="235">
        <f>P18+P19</f>
        <v>0</v>
      </c>
      <c r="Q17" s="236">
        <f t="shared" si="4"/>
        <v>0</v>
      </c>
      <c r="R17" s="237" t="str">
        <f t="shared" si="5"/>
        <v>-</v>
      </c>
      <c r="S17" s="556"/>
      <c r="T17" s="235">
        <f>T18+T19</f>
        <v>0</v>
      </c>
      <c r="U17" s="235">
        <f>U18+U19</f>
        <v>0</v>
      </c>
      <c r="V17" s="236">
        <f t="shared" si="6"/>
        <v>0</v>
      </c>
      <c r="W17" s="237" t="str">
        <f t="shared" si="7"/>
        <v>-</v>
      </c>
      <c r="X17" s="556"/>
    </row>
    <row r="18" spans="1:24" ht="18" customHeight="1" x14ac:dyDescent="0.25">
      <c r="A18" s="240">
        <v>53110</v>
      </c>
      <c r="B18" s="241" t="s">
        <v>467</v>
      </c>
      <c r="C18" s="235">
        <v>18500</v>
      </c>
      <c r="D18" s="235"/>
      <c r="E18" s="235"/>
      <c r="F18" s="235"/>
      <c r="G18" s="236">
        <f t="shared" si="0"/>
        <v>0</v>
      </c>
      <c r="H18" s="237" t="str">
        <f t="shared" si="1"/>
        <v>-</v>
      </c>
      <c r="I18" s="556"/>
      <c r="J18" s="235"/>
      <c r="K18" s="235"/>
      <c r="L18" s="236">
        <f t="shared" si="2"/>
        <v>0</v>
      </c>
      <c r="M18" s="237" t="str">
        <f t="shared" si="3"/>
        <v>-</v>
      </c>
      <c r="N18" s="556"/>
      <c r="O18" s="235"/>
      <c r="P18" s="235"/>
      <c r="Q18" s="236">
        <f t="shared" si="4"/>
        <v>0</v>
      </c>
      <c r="R18" s="237" t="str">
        <f t="shared" si="5"/>
        <v>-</v>
      </c>
      <c r="S18" s="556"/>
      <c r="T18" s="235"/>
      <c r="U18" s="235"/>
      <c r="V18" s="236">
        <f t="shared" si="6"/>
        <v>0</v>
      </c>
      <c r="W18" s="237" t="str">
        <f t="shared" si="7"/>
        <v>-</v>
      </c>
      <c r="X18" s="556"/>
    </row>
    <row r="19" spans="1:24" ht="18" customHeight="1" x14ac:dyDescent="0.25">
      <c r="A19" s="240">
        <v>53120</v>
      </c>
      <c r="B19" s="241" t="s">
        <v>468</v>
      </c>
      <c r="C19" s="235">
        <v>23304</v>
      </c>
      <c r="D19" s="235">
        <v>0</v>
      </c>
      <c r="E19" s="235"/>
      <c r="F19" s="235"/>
      <c r="G19" s="236">
        <f t="shared" si="0"/>
        <v>0</v>
      </c>
      <c r="H19" s="237" t="str">
        <f t="shared" si="1"/>
        <v>-</v>
      </c>
      <c r="I19" s="556"/>
      <c r="J19" s="235"/>
      <c r="K19" s="235"/>
      <c r="L19" s="236">
        <f t="shared" si="2"/>
        <v>0</v>
      </c>
      <c r="M19" s="237" t="str">
        <f t="shared" si="3"/>
        <v>-</v>
      </c>
      <c r="N19" s="556"/>
      <c r="O19" s="235"/>
      <c r="P19" s="235"/>
      <c r="Q19" s="236">
        <f t="shared" si="4"/>
        <v>0</v>
      </c>
      <c r="R19" s="237" t="str">
        <f t="shared" si="5"/>
        <v>-</v>
      </c>
      <c r="S19" s="556"/>
      <c r="T19" s="235"/>
      <c r="U19" s="235"/>
      <c r="V19" s="236">
        <f t="shared" si="6"/>
        <v>0</v>
      </c>
      <c r="W19" s="237" t="str">
        <f t="shared" si="7"/>
        <v>-</v>
      </c>
      <c r="X19" s="556"/>
    </row>
    <row r="20" spans="1:24" ht="18" customHeight="1" x14ac:dyDescent="0.25">
      <c r="A20" s="240">
        <v>53200</v>
      </c>
      <c r="B20" s="241" t="s">
        <v>538</v>
      </c>
      <c r="C20" s="235">
        <v>22488</v>
      </c>
      <c r="D20" s="235">
        <v>50000</v>
      </c>
      <c r="E20" s="235">
        <v>0</v>
      </c>
      <c r="F20" s="235"/>
      <c r="G20" s="236">
        <f t="shared" si="0"/>
        <v>0</v>
      </c>
      <c r="H20" s="237" t="str">
        <f t="shared" si="1"/>
        <v>-</v>
      </c>
      <c r="I20" s="556"/>
      <c r="J20" s="235">
        <v>0</v>
      </c>
      <c r="K20" s="235"/>
      <c r="L20" s="236">
        <f t="shared" si="2"/>
        <v>0</v>
      </c>
      <c r="M20" s="237" t="str">
        <f t="shared" si="3"/>
        <v>-</v>
      </c>
      <c r="N20" s="556"/>
      <c r="O20" s="235">
        <v>0</v>
      </c>
      <c r="P20" s="235"/>
      <c r="Q20" s="236">
        <f t="shared" si="4"/>
        <v>0</v>
      </c>
      <c r="R20" s="237" t="str">
        <f t="shared" si="5"/>
        <v>-</v>
      </c>
      <c r="S20" s="556"/>
      <c r="T20" s="235">
        <v>50000</v>
      </c>
      <c r="U20" s="235"/>
      <c r="V20" s="236">
        <f t="shared" si="6"/>
        <v>-50000</v>
      </c>
      <c r="W20" s="237">
        <f t="shared" si="7"/>
        <v>-1</v>
      </c>
      <c r="X20" s="556"/>
    </row>
    <row r="21" spans="1:24" ht="18" customHeight="1" x14ac:dyDescent="0.25">
      <c r="A21" s="240">
        <v>53300</v>
      </c>
      <c r="B21" s="241" t="s">
        <v>539</v>
      </c>
      <c r="C21" s="235">
        <v>20405</v>
      </c>
      <c r="D21" s="235">
        <v>43970</v>
      </c>
      <c r="E21" s="235">
        <v>0</v>
      </c>
      <c r="F21" s="235"/>
      <c r="G21" s="236">
        <f t="shared" si="0"/>
        <v>0</v>
      </c>
      <c r="H21" s="237" t="str">
        <f t="shared" si="1"/>
        <v>-</v>
      </c>
      <c r="I21" s="556"/>
      <c r="J21" s="235">
        <v>38620</v>
      </c>
      <c r="K21" s="235"/>
      <c r="L21" s="236">
        <f t="shared" si="2"/>
        <v>-38620</v>
      </c>
      <c r="M21" s="237">
        <f t="shared" si="3"/>
        <v>-1</v>
      </c>
      <c r="N21" s="556"/>
      <c r="O21" s="235">
        <v>42970</v>
      </c>
      <c r="P21" s="235"/>
      <c r="Q21" s="236">
        <f t="shared" si="4"/>
        <v>-42970</v>
      </c>
      <c r="R21" s="237">
        <f t="shared" si="5"/>
        <v>-1</v>
      </c>
      <c r="S21" s="556"/>
      <c r="T21" s="235">
        <f>D21</f>
        <v>43970</v>
      </c>
      <c r="U21" s="235"/>
      <c r="V21" s="236">
        <f t="shared" si="6"/>
        <v>-43970</v>
      </c>
      <c r="W21" s="237">
        <f t="shared" si="7"/>
        <v>-1</v>
      </c>
      <c r="X21" s="556"/>
    </row>
    <row r="22" spans="1:24" ht="18" customHeight="1" x14ac:dyDescent="0.25">
      <c r="A22" s="240">
        <v>53400</v>
      </c>
      <c r="B22" s="241" t="s">
        <v>540</v>
      </c>
      <c r="C22" s="235">
        <v>35985</v>
      </c>
      <c r="D22" s="235">
        <v>24750</v>
      </c>
      <c r="E22" s="235">
        <v>8050</v>
      </c>
      <c r="F22" s="235">
        <v>7834</v>
      </c>
      <c r="G22" s="236">
        <f t="shared" si="0"/>
        <v>-216</v>
      </c>
      <c r="H22" s="237">
        <f t="shared" si="1"/>
        <v>-2.6832298136645963E-2</v>
      </c>
      <c r="I22" s="556"/>
      <c r="J22" s="235">
        <v>17850</v>
      </c>
      <c r="K22" s="235"/>
      <c r="L22" s="236">
        <f t="shared" si="2"/>
        <v>-17850</v>
      </c>
      <c r="M22" s="237">
        <f t="shared" si="3"/>
        <v>-1</v>
      </c>
      <c r="N22" s="556"/>
      <c r="O22" s="235">
        <v>24750</v>
      </c>
      <c r="P22" s="235"/>
      <c r="Q22" s="236">
        <f t="shared" si="4"/>
        <v>-24750</v>
      </c>
      <c r="R22" s="237">
        <f t="shared" si="5"/>
        <v>-1</v>
      </c>
      <c r="S22" s="556"/>
      <c r="T22" s="235">
        <v>24750</v>
      </c>
      <c r="U22" s="235"/>
      <c r="V22" s="236">
        <f t="shared" si="6"/>
        <v>-24750</v>
      </c>
      <c r="W22" s="237">
        <f t="shared" si="7"/>
        <v>-1</v>
      </c>
      <c r="X22" s="556"/>
    </row>
    <row r="23" spans="1:24" ht="28.5" customHeight="1" x14ac:dyDescent="0.25">
      <c r="A23" s="240">
        <v>53500</v>
      </c>
      <c r="B23" s="241" t="s">
        <v>541</v>
      </c>
      <c r="C23" s="235">
        <v>30141</v>
      </c>
      <c r="D23" s="235">
        <v>8785</v>
      </c>
      <c r="E23" s="235">
        <v>3935</v>
      </c>
      <c r="F23" s="235">
        <v>3791</v>
      </c>
      <c r="G23" s="236">
        <f t="shared" si="0"/>
        <v>-144</v>
      </c>
      <c r="H23" s="237">
        <f t="shared" si="1"/>
        <v>-3.6594663278271919E-2</v>
      </c>
      <c r="I23" s="556"/>
      <c r="J23" s="235">
        <v>7035</v>
      </c>
      <c r="K23" s="235"/>
      <c r="L23" s="236">
        <f t="shared" si="2"/>
        <v>-7035</v>
      </c>
      <c r="M23" s="237">
        <f t="shared" si="3"/>
        <v>-1</v>
      </c>
      <c r="N23" s="556"/>
      <c r="O23" s="235">
        <v>8785</v>
      </c>
      <c r="P23" s="235"/>
      <c r="Q23" s="236">
        <f t="shared" si="4"/>
        <v>-8785</v>
      </c>
      <c r="R23" s="237">
        <f t="shared" si="5"/>
        <v>-1</v>
      </c>
      <c r="S23" s="556"/>
      <c r="T23" s="235">
        <v>8785</v>
      </c>
      <c r="U23" s="235"/>
      <c r="V23" s="236">
        <f t="shared" si="6"/>
        <v>-8785</v>
      </c>
      <c r="W23" s="237">
        <f t="shared" si="7"/>
        <v>-1</v>
      </c>
      <c r="X23" s="556"/>
    </row>
    <row r="24" spans="1:24" ht="33" customHeight="1" x14ac:dyDescent="0.25">
      <c r="A24" s="243">
        <v>53600</v>
      </c>
      <c r="B24" s="244" t="s">
        <v>542</v>
      </c>
      <c r="C24" s="235"/>
      <c r="D24" s="235"/>
      <c r="E24" s="235"/>
      <c r="F24" s="235"/>
      <c r="G24" s="236">
        <f t="shared" si="0"/>
        <v>0</v>
      </c>
      <c r="H24" s="237" t="str">
        <f t="shared" si="1"/>
        <v>-</v>
      </c>
      <c r="I24" s="556"/>
      <c r="J24" s="235"/>
      <c r="K24" s="235"/>
      <c r="L24" s="236">
        <f t="shared" si="2"/>
        <v>0</v>
      </c>
      <c r="M24" s="237" t="str">
        <f t="shared" si="3"/>
        <v>-</v>
      </c>
      <c r="N24" s="556"/>
      <c r="O24" s="235"/>
      <c r="P24" s="235"/>
      <c r="Q24" s="236">
        <f t="shared" si="4"/>
        <v>0</v>
      </c>
      <c r="R24" s="237" t="str">
        <f t="shared" si="5"/>
        <v>-</v>
      </c>
      <c r="S24" s="556"/>
      <c r="T24" s="235"/>
      <c r="U24" s="235"/>
      <c r="V24" s="236">
        <f t="shared" si="6"/>
        <v>0</v>
      </c>
      <c r="W24" s="237" t="str">
        <f t="shared" si="7"/>
        <v>-</v>
      </c>
      <c r="X24" s="556"/>
    </row>
    <row r="25" spans="1:24" ht="18" customHeight="1" x14ac:dyDescent="0.25">
      <c r="A25" s="215">
        <v>50000</v>
      </c>
      <c r="B25" s="208" t="s">
        <v>257</v>
      </c>
      <c r="C25" s="142">
        <f ca="1">C3+C16+C8</f>
        <v>244581</v>
      </c>
      <c r="D25" s="142">
        <f ca="1">D3+D16+D8</f>
        <v>779629</v>
      </c>
      <c r="E25" s="142">
        <f ca="1">E3+E16+E8</f>
        <v>12566</v>
      </c>
      <c r="F25" s="142">
        <f ca="1">F3+F16+F8</f>
        <v>14029</v>
      </c>
      <c r="G25" s="143">
        <f t="shared" ca="1" si="0"/>
        <v>1463</v>
      </c>
      <c r="H25" s="42">
        <f t="shared" ca="1" si="1"/>
        <v>0.11642527455037402</v>
      </c>
      <c r="I25" s="404"/>
      <c r="J25" s="142">
        <f ca="1">J3+J16+J8</f>
        <v>516053</v>
      </c>
      <c r="K25" s="142">
        <f ca="1">K3+K16+K8</f>
        <v>0</v>
      </c>
      <c r="L25" s="143">
        <f t="shared" ca="1" si="2"/>
        <v>-516053</v>
      </c>
      <c r="M25" s="42">
        <f t="shared" ca="1" si="3"/>
        <v>-1</v>
      </c>
      <c r="N25" s="404"/>
      <c r="O25" s="142">
        <f ca="1">O3+O16+O8</f>
        <v>728629</v>
      </c>
      <c r="P25" s="142">
        <f ca="1">P3+P16+P8</f>
        <v>0</v>
      </c>
      <c r="Q25" s="143">
        <f t="shared" ca="1" si="4"/>
        <v>-728629</v>
      </c>
      <c r="R25" s="42">
        <f t="shared" ca="1" si="5"/>
        <v>-1</v>
      </c>
      <c r="S25" s="404"/>
      <c r="T25" s="142">
        <f ca="1">T3+T16+T8</f>
        <v>779629</v>
      </c>
      <c r="U25" s="142">
        <f ca="1">U3+U16+U8</f>
        <v>0</v>
      </c>
      <c r="V25" s="143">
        <f t="shared" ca="1" si="6"/>
        <v>-779629</v>
      </c>
      <c r="W25" s="42">
        <f t="shared" ca="1" si="7"/>
        <v>-1</v>
      </c>
      <c r="X25" s="404"/>
    </row>
    <row r="26" spans="1:24" ht="18" customHeight="1" x14ac:dyDescent="0.25">
      <c r="A26" s="302"/>
      <c r="B26" s="303"/>
      <c r="C26" s="304"/>
    </row>
    <row r="27" spans="1:24" x14ac:dyDescent="0.25">
      <c r="A27" s="51" t="s">
        <v>497</v>
      </c>
    </row>
    <row r="28" spans="1:24" ht="20.100000000000001" customHeight="1" x14ac:dyDescent="0.25">
      <c r="A28" s="537" t="s">
        <v>501</v>
      </c>
      <c r="B28" s="537"/>
      <c r="C28" s="537"/>
      <c r="D28" s="537"/>
      <c r="E28" s="537"/>
      <c r="F28" s="537"/>
      <c r="G28" s="537"/>
      <c r="H28" s="306"/>
      <c r="I28" s="306"/>
      <c r="J28" s="306"/>
    </row>
    <row r="29" spans="1:24" x14ac:dyDescent="0.25">
      <c r="A29" s="534" t="s">
        <v>462</v>
      </c>
      <c r="B29" s="534"/>
      <c r="C29" s="534"/>
      <c r="D29" s="534"/>
      <c r="E29" s="534"/>
    </row>
    <row r="30" spans="1:24" x14ac:dyDescent="0.25">
      <c r="A30" s="305"/>
      <c r="B30" s="305"/>
      <c r="C30" s="305"/>
      <c r="D30" s="305"/>
    </row>
  </sheetData>
  <sheetProtection formatColumns="0" formatRows="0" insertRows="0" deleteRows="0"/>
  <mergeCells count="14">
    <mergeCell ref="A28:G28"/>
    <mergeCell ref="A29:E29"/>
    <mergeCell ref="I16:I24"/>
    <mergeCell ref="I3:I7"/>
    <mergeCell ref="I8:I15"/>
    <mergeCell ref="X3:X7"/>
    <mergeCell ref="X8:X15"/>
    <mergeCell ref="X16:X24"/>
    <mergeCell ref="N3:N7"/>
    <mergeCell ref="N8:N15"/>
    <mergeCell ref="N16:N24"/>
    <mergeCell ref="S3:S7"/>
    <mergeCell ref="S8:S15"/>
    <mergeCell ref="S16:S24"/>
  </mergeCells>
  <phoneticPr fontId="52" type="noConversion"/>
  <pageMargins left="0.23622047244094491" right="0.23622047244094491" top="0.74803149606299213" bottom="0.74803149606299213" header="0.31496062992125984" footer="0.31496062992125984"/>
  <pageSetup paperSize="9" scale="63" orientation="landscape" r:id="rId1"/>
  <headerFooter>
    <oddHeader xml:space="preserve">&amp;C&amp;"Times New Roman,Bold"&amp;14Ieguldījumu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8"/>
  <sheetViews>
    <sheetView view="pageBreakPreview" zoomScale="70" zoomScaleNormal="70" zoomScaleSheetLayoutView="70" workbookViewId="0">
      <pane ySplit="1" topLeftCell="A34" activePane="bottomLeft" state="frozen"/>
      <selection activeCell="K45" sqref="K45"/>
      <selection pane="bottomLeft" activeCell="K45" sqref="K45"/>
    </sheetView>
  </sheetViews>
  <sheetFormatPr defaultColWidth="9.140625" defaultRowHeight="15.75" x14ac:dyDescent="0.2"/>
  <cols>
    <col min="1" max="1" width="8.7109375" style="20" bestFit="1" customWidth="1"/>
    <col min="2" max="2" width="43.85546875" style="16" customWidth="1"/>
    <col min="3" max="3" width="19.85546875" style="16" customWidth="1"/>
    <col min="4" max="6" width="17.5703125" style="16" customWidth="1"/>
    <col min="7" max="7" width="30.42578125" style="16" customWidth="1"/>
    <col min="8" max="16384" width="9.140625" style="16"/>
  </cols>
  <sheetData>
    <row r="1" spans="1:7" ht="47.25" x14ac:dyDescent="0.2">
      <c r="A1" s="19" t="s">
        <v>411</v>
      </c>
      <c r="B1" s="416" t="s">
        <v>570</v>
      </c>
      <c r="C1" s="416" t="s">
        <v>452</v>
      </c>
      <c r="D1" s="416" t="s">
        <v>412</v>
      </c>
      <c r="E1" s="416" t="s">
        <v>413</v>
      </c>
      <c r="F1" s="416" t="s">
        <v>414</v>
      </c>
      <c r="G1" s="417" t="s">
        <v>567</v>
      </c>
    </row>
    <row r="2" spans="1:7" ht="12" customHeight="1" x14ac:dyDescent="0.2">
      <c r="A2" s="19" t="s">
        <v>598</v>
      </c>
      <c r="B2" s="416">
        <v>2</v>
      </c>
      <c r="C2" s="416">
        <v>3</v>
      </c>
      <c r="D2" s="416">
        <v>4</v>
      </c>
      <c r="E2" s="416">
        <v>5</v>
      </c>
      <c r="F2" s="416">
        <v>6</v>
      </c>
      <c r="G2" s="417">
        <v>7</v>
      </c>
    </row>
    <row r="3" spans="1:7" s="307" customFormat="1" ht="18" customHeight="1" x14ac:dyDescent="0.2">
      <c r="A3" s="354"/>
      <c r="B3" s="355" t="s">
        <v>306</v>
      </c>
      <c r="C3" s="483">
        <f>C4+C34+C41+C45+C49+C53</f>
        <v>1940140.83</v>
      </c>
      <c r="D3" s="355"/>
      <c r="E3" s="355"/>
      <c r="F3" s="355"/>
      <c r="G3" s="355"/>
    </row>
    <row r="4" spans="1:7" s="307" customFormat="1" ht="18" customHeight="1" x14ac:dyDescent="0.2">
      <c r="A4" s="308" t="s">
        <v>415</v>
      </c>
      <c r="B4" s="78" t="s">
        <v>307</v>
      </c>
      <c r="C4" s="370">
        <f>SUM(C5:C17)</f>
        <v>577525</v>
      </c>
      <c r="D4" s="371"/>
      <c r="E4" s="372"/>
      <c r="F4" s="373"/>
      <c r="G4" s="373"/>
    </row>
    <row r="5" spans="1:7" s="307" customFormat="1" ht="18" customHeight="1" x14ac:dyDescent="0.2">
      <c r="A5" s="361" t="s">
        <v>453</v>
      </c>
      <c r="B5" s="362" t="s">
        <v>308</v>
      </c>
      <c r="C5" s="363"/>
      <c r="D5" s="170"/>
      <c r="E5" s="364"/>
      <c r="F5" s="365"/>
      <c r="G5" s="365"/>
    </row>
    <row r="6" spans="1:7" s="307" customFormat="1" ht="18" hidden="1" customHeight="1" x14ac:dyDescent="0.2">
      <c r="A6" s="366" t="s">
        <v>543</v>
      </c>
      <c r="B6" s="18" t="s">
        <v>418</v>
      </c>
      <c r="C6" s="367"/>
      <c r="D6" s="163"/>
      <c r="E6" s="368"/>
      <c r="F6" s="369"/>
      <c r="G6" s="369"/>
    </row>
    <row r="7" spans="1:7" s="307" customFormat="1" ht="18" hidden="1" customHeight="1" x14ac:dyDescent="0.2">
      <c r="A7" s="366" t="s">
        <v>544</v>
      </c>
      <c r="B7" s="18" t="s">
        <v>418</v>
      </c>
      <c r="C7" s="367"/>
      <c r="D7" s="163"/>
      <c r="E7" s="368"/>
      <c r="F7" s="369"/>
      <c r="G7" s="369"/>
    </row>
    <row r="8" spans="1:7" s="307" customFormat="1" ht="18" hidden="1" customHeight="1" x14ac:dyDescent="0.2">
      <c r="A8" s="366" t="s">
        <v>420</v>
      </c>
      <c r="B8" s="18" t="s">
        <v>418</v>
      </c>
      <c r="C8" s="367"/>
      <c r="D8" s="163"/>
      <c r="E8" s="368"/>
      <c r="F8" s="369"/>
      <c r="G8" s="369"/>
    </row>
    <row r="9" spans="1:7" s="307" customFormat="1" ht="18" customHeight="1" x14ac:dyDescent="0.2">
      <c r="A9" s="361" t="s">
        <v>416</v>
      </c>
      <c r="B9" s="362" t="s">
        <v>309</v>
      </c>
      <c r="C9" s="363"/>
      <c r="D9" s="170"/>
      <c r="E9" s="364"/>
      <c r="F9" s="365"/>
      <c r="G9" s="365"/>
    </row>
    <row r="10" spans="1:7" s="307" customFormat="1" ht="18" hidden="1" customHeight="1" x14ac:dyDescent="0.2">
      <c r="A10" s="366" t="s">
        <v>417</v>
      </c>
      <c r="B10" s="18" t="s">
        <v>418</v>
      </c>
      <c r="C10" s="367"/>
      <c r="D10" s="163"/>
      <c r="E10" s="368"/>
      <c r="F10" s="369"/>
      <c r="G10" s="369"/>
    </row>
    <row r="11" spans="1:7" s="307" customFormat="1" ht="18" hidden="1" customHeight="1" x14ac:dyDescent="0.2">
      <c r="A11" s="366" t="s">
        <v>419</v>
      </c>
      <c r="B11" s="18" t="s">
        <v>418</v>
      </c>
      <c r="C11" s="367"/>
      <c r="D11" s="163"/>
      <c r="E11" s="368"/>
      <c r="F11" s="369"/>
      <c r="G11" s="369"/>
    </row>
    <row r="12" spans="1:7" s="307" customFormat="1" ht="18" hidden="1" customHeight="1" x14ac:dyDescent="0.2">
      <c r="A12" s="366" t="s">
        <v>420</v>
      </c>
      <c r="B12" s="18" t="s">
        <v>418</v>
      </c>
      <c r="C12" s="367"/>
      <c r="D12" s="163"/>
      <c r="E12" s="368"/>
      <c r="F12" s="369"/>
      <c r="G12" s="369"/>
    </row>
    <row r="13" spans="1:7" s="307" customFormat="1" ht="18" customHeight="1" x14ac:dyDescent="0.2">
      <c r="A13" s="361" t="s">
        <v>421</v>
      </c>
      <c r="B13" s="362" t="s">
        <v>310</v>
      </c>
      <c r="C13" s="363">
        <v>576960</v>
      </c>
      <c r="D13" s="170"/>
      <c r="E13" s="364"/>
      <c r="F13" s="365"/>
      <c r="G13" s="365"/>
    </row>
    <row r="14" spans="1:7" s="307" customFormat="1" ht="18" hidden="1" customHeight="1" x14ac:dyDescent="0.2">
      <c r="A14" s="366" t="s">
        <v>422</v>
      </c>
      <c r="B14" s="18" t="s">
        <v>418</v>
      </c>
      <c r="C14" s="367"/>
      <c r="D14" s="163"/>
      <c r="E14" s="368"/>
      <c r="F14" s="369"/>
      <c r="G14" s="369"/>
    </row>
    <row r="15" spans="1:7" s="307" customFormat="1" ht="18" hidden="1" customHeight="1" x14ac:dyDescent="0.2">
      <c r="A15" s="366" t="s">
        <v>423</v>
      </c>
      <c r="B15" s="18" t="s">
        <v>418</v>
      </c>
      <c r="C15" s="367"/>
      <c r="D15" s="163"/>
      <c r="E15" s="368"/>
      <c r="F15" s="369"/>
      <c r="G15" s="369"/>
    </row>
    <row r="16" spans="1:7" s="307" customFormat="1" ht="18" hidden="1" customHeight="1" x14ac:dyDescent="0.2">
      <c r="A16" s="366" t="s">
        <v>420</v>
      </c>
      <c r="B16" s="18" t="s">
        <v>418</v>
      </c>
      <c r="C16" s="367"/>
      <c r="D16" s="163"/>
      <c r="E16" s="368"/>
      <c r="F16" s="369"/>
      <c r="G16" s="369"/>
    </row>
    <row r="17" spans="1:7" s="307" customFormat="1" ht="18" customHeight="1" x14ac:dyDescent="0.2">
      <c r="A17" s="361" t="s">
        <v>424</v>
      </c>
      <c r="B17" s="362" t="s">
        <v>311</v>
      </c>
      <c r="C17" s="363">
        <v>565</v>
      </c>
      <c r="D17" s="170"/>
      <c r="E17" s="364"/>
      <c r="F17" s="365"/>
      <c r="G17" s="365"/>
    </row>
    <row r="18" spans="1:7" s="307" customFormat="1" ht="18" hidden="1" customHeight="1" x14ac:dyDescent="0.2">
      <c r="A18" s="309" t="s">
        <v>425</v>
      </c>
      <c r="B18" s="17" t="s">
        <v>418</v>
      </c>
      <c r="C18" s="310"/>
      <c r="D18" s="167"/>
      <c r="E18" s="311"/>
      <c r="F18" s="312"/>
      <c r="G18" s="312"/>
    </row>
    <row r="19" spans="1:7" s="307" customFormat="1" ht="18" hidden="1" customHeight="1" x14ac:dyDescent="0.2">
      <c r="A19" s="309" t="s">
        <v>426</v>
      </c>
      <c r="B19" s="17" t="s">
        <v>418</v>
      </c>
      <c r="C19" s="310"/>
      <c r="D19" s="167"/>
      <c r="E19" s="311"/>
      <c r="F19" s="312"/>
      <c r="G19" s="312"/>
    </row>
    <row r="20" spans="1:7" s="307" customFormat="1" ht="18" hidden="1" customHeight="1" x14ac:dyDescent="0.2">
      <c r="A20" s="309" t="s">
        <v>420</v>
      </c>
      <c r="B20" s="17" t="s">
        <v>418</v>
      </c>
      <c r="C20" s="310"/>
      <c r="D20" s="167"/>
      <c r="E20" s="311"/>
      <c r="F20" s="312"/>
      <c r="G20" s="312"/>
    </row>
    <row r="21" spans="1:7" s="307" customFormat="1" ht="18" customHeight="1" x14ac:dyDescent="0.2">
      <c r="A21" s="308" t="s">
        <v>427</v>
      </c>
      <c r="B21" s="78" t="s">
        <v>312</v>
      </c>
      <c r="C21" s="370"/>
      <c r="D21" s="371"/>
      <c r="E21" s="372"/>
      <c r="F21" s="373"/>
      <c r="G21" s="373"/>
    </row>
    <row r="22" spans="1:7" s="307" customFormat="1" ht="18" customHeight="1" x14ac:dyDescent="0.2">
      <c r="A22" s="361" t="s">
        <v>428</v>
      </c>
      <c r="B22" s="362" t="s">
        <v>308</v>
      </c>
      <c r="C22" s="363"/>
      <c r="D22" s="170"/>
      <c r="E22" s="364"/>
      <c r="F22" s="365"/>
      <c r="G22" s="365"/>
    </row>
    <row r="23" spans="1:7" s="307" customFormat="1" ht="18" hidden="1" customHeight="1" x14ac:dyDescent="0.2">
      <c r="A23" s="309" t="s">
        <v>429</v>
      </c>
      <c r="B23" s="17" t="s">
        <v>418</v>
      </c>
      <c r="C23" s="310"/>
      <c r="D23" s="167"/>
      <c r="E23" s="311"/>
      <c r="F23" s="312"/>
      <c r="G23" s="312"/>
    </row>
    <row r="24" spans="1:7" s="307" customFormat="1" ht="18" hidden="1" customHeight="1" x14ac:dyDescent="0.2">
      <c r="A24" s="309" t="s">
        <v>430</v>
      </c>
      <c r="B24" s="17" t="s">
        <v>418</v>
      </c>
      <c r="C24" s="310"/>
      <c r="D24" s="167"/>
      <c r="E24" s="311"/>
      <c r="F24" s="312"/>
      <c r="G24" s="312"/>
    </row>
    <row r="25" spans="1:7" s="307" customFormat="1" ht="18" hidden="1" customHeight="1" x14ac:dyDescent="0.2">
      <c r="A25" s="309" t="s">
        <v>420</v>
      </c>
      <c r="B25" s="17" t="s">
        <v>418</v>
      </c>
      <c r="C25" s="310"/>
      <c r="D25" s="167"/>
      <c r="E25" s="311"/>
      <c r="F25" s="312"/>
      <c r="G25" s="312"/>
    </row>
    <row r="26" spans="1:7" s="307" customFormat="1" ht="18" customHeight="1" x14ac:dyDescent="0.2">
      <c r="A26" s="361" t="s">
        <v>431</v>
      </c>
      <c r="B26" s="362" t="s">
        <v>309</v>
      </c>
      <c r="C26" s="363"/>
      <c r="D26" s="364"/>
      <c r="E26" s="364"/>
      <c r="F26" s="365"/>
      <c r="G26" s="365"/>
    </row>
    <row r="27" spans="1:7" s="307" customFormat="1" ht="18" hidden="1" customHeight="1" x14ac:dyDescent="0.2">
      <c r="A27" s="366" t="s">
        <v>432</v>
      </c>
      <c r="B27" s="18" t="s">
        <v>418</v>
      </c>
      <c r="C27" s="367"/>
      <c r="D27" s="368"/>
      <c r="E27" s="368"/>
      <c r="F27" s="369"/>
      <c r="G27" s="369"/>
    </row>
    <row r="28" spans="1:7" s="307" customFormat="1" ht="18" hidden="1" customHeight="1" x14ac:dyDescent="0.2">
      <c r="A28" s="366" t="s">
        <v>433</v>
      </c>
      <c r="B28" s="18" t="s">
        <v>418</v>
      </c>
      <c r="C28" s="367"/>
      <c r="D28" s="368"/>
      <c r="E28" s="368"/>
      <c r="F28" s="369"/>
      <c r="G28" s="369"/>
    </row>
    <row r="29" spans="1:7" s="307" customFormat="1" ht="18" hidden="1" customHeight="1" x14ac:dyDescent="0.2">
      <c r="A29" s="366" t="s">
        <v>420</v>
      </c>
      <c r="B29" s="18" t="s">
        <v>418</v>
      </c>
      <c r="C29" s="367"/>
      <c r="D29" s="368"/>
      <c r="E29" s="368"/>
      <c r="F29" s="369"/>
      <c r="G29" s="369"/>
    </row>
    <row r="30" spans="1:7" s="307" customFormat="1" ht="18" customHeight="1" x14ac:dyDescent="0.2">
      <c r="A30" s="361" t="s">
        <v>434</v>
      </c>
      <c r="B30" s="362" t="s">
        <v>589</v>
      </c>
      <c r="C30" s="363"/>
      <c r="D30" s="364"/>
      <c r="E30" s="364"/>
      <c r="F30" s="365"/>
      <c r="G30" s="365"/>
    </row>
    <row r="31" spans="1:7" s="307" customFormat="1" ht="18" hidden="1" customHeight="1" x14ac:dyDescent="0.2">
      <c r="A31" s="309" t="s">
        <v>435</v>
      </c>
      <c r="B31" s="17" t="s">
        <v>418</v>
      </c>
      <c r="C31" s="310"/>
      <c r="D31" s="311"/>
      <c r="E31" s="311"/>
      <c r="F31" s="312"/>
      <c r="G31" s="312"/>
    </row>
    <row r="32" spans="1:7" s="307" customFormat="1" ht="18" hidden="1" customHeight="1" x14ac:dyDescent="0.2">
      <c r="A32" s="309" t="s">
        <v>436</v>
      </c>
      <c r="B32" s="17" t="s">
        <v>418</v>
      </c>
      <c r="C32" s="310"/>
      <c r="D32" s="311"/>
      <c r="E32" s="311"/>
      <c r="F32" s="312"/>
      <c r="G32" s="312"/>
    </row>
    <row r="33" spans="1:7" s="307" customFormat="1" ht="18" hidden="1" customHeight="1" x14ac:dyDescent="0.2">
      <c r="A33" s="309" t="s">
        <v>420</v>
      </c>
      <c r="B33" s="17" t="s">
        <v>418</v>
      </c>
      <c r="C33" s="313"/>
      <c r="D33" s="314"/>
      <c r="E33" s="314"/>
      <c r="F33" s="315"/>
      <c r="G33" s="315"/>
    </row>
    <row r="34" spans="1:7" s="307" customFormat="1" ht="45.75" customHeight="1" x14ac:dyDescent="0.2">
      <c r="A34" s="361" t="s">
        <v>437</v>
      </c>
      <c r="B34" s="362" t="s">
        <v>590</v>
      </c>
      <c r="C34" s="363">
        <f>SUM(C35:C40)</f>
        <v>127214.12000000001</v>
      </c>
      <c r="D34" s="364"/>
      <c r="E34" s="364"/>
      <c r="F34" s="365"/>
      <c r="G34" s="365"/>
    </row>
    <row r="35" spans="1:7" s="307" customFormat="1" ht="18" customHeight="1" x14ac:dyDescent="0.2">
      <c r="A35" s="366" t="s">
        <v>438</v>
      </c>
      <c r="B35" s="18" t="s">
        <v>648</v>
      </c>
      <c r="C35" s="367">
        <v>34624.959999999999</v>
      </c>
      <c r="D35" s="368"/>
      <c r="E35" s="368"/>
      <c r="F35" s="369"/>
      <c r="G35" s="369"/>
    </row>
    <row r="36" spans="1:7" s="307" customFormat="1" ht="18" customHeight="1" x14ac:dyDescent="0.2">
      <c r="A36" s="366" t="s">
        <v>439</v>
      </c>
      <c r="B36" s="18" t="s">
        <v>649</v>
      </c>
      <c r="C36" s="367">
        <v>13218.73</v>
      </c>
      <c r="D36" s="368"/>
      <c r="E36" s="368"/>
      <c r="F36" s="369"/>
      <c r="G36" s="369"/>
    </row>
    <row r="37" spans="1:7" s="307" customFormat="1" ht="18" customHeight="1" x14ac:dyDescent="0.2">
      <c r="A37" s="366" t="s">
        <v>644</v>
      </c>
      <c r="B37" s="18" t="s">
        <v>650</v>
      </c>
      <c r="C37" s="367">
        <v>12798.08</v>
      </c>
      <c r="D37" s="368"/>
      <c r="E37" s="368"/>
      <c r="F37" s="369"/>
      <c r="G37" s="369"/>
    </row>
    <row r="38" spans="1:7" s="307" customFormat="1" ht="18" customHeight="1" x14ac:dyDescent="0.2">
      <c r="A38" s="366" t="s">
        <v>645</v>
      </c>
      <c r="B38" s="18" t="s">
        <v>651</v>
      </c>
      <c r="C38" s="367">
        <v>11812.08</v>
      </c>
      <c r="D38" s="368"/>
      <c r="E38" s="368"/>
      <c r="F38" s="369"/>
      <c r="G38" s="369"/>
    </row>
    <row r="39" spans="1:7" s="307" customFormat="1" ht="18" customHeight="1" x14ac:dyDescent="0.2">
      <c r="A39" s="366" t="s">
        <v>646</v>
      </c>
      <c r="B39" s="18" t="s">
        <v>652</v>
      </c>
      <c r="C39" s="367">
        <v>8898.52</v>
      </c>
      <c r="D39" s="368"/>
      <c r="E39" s="368"/>
      <c r="F39" s="369"/>
      <c r="G39" s="369"/>
    </row>
    <row r="40" spans="1:7" s="307" customFormat="1" ht="27.75" customHeight="1" x14ac:dyDescent="0.2">
      <c r="A40" s="366" t="s">
        <v>647</v>
      </c>
      <c r="B40" s="18" t="s">
        <v>653</v>
      </c>
      <c r="C40" s="367">
        <v>45861.75</v>
      </c>
      <c r="D40" s="368"/>
      <c r="E40" s="368"/>
      <c r="F40" s="369"/>
      <c r="G40" s="369"/>
    </row>
    <row r="41" spans="1:7" s="307" customFormat="1" ht="18" customHeight="1" x14ac:dyDescent="0.2">
      <c r="A41" s="361" t="s">
        <v>440</v>
      </c>
      <c r="B41" s="362" t="s">
        <v>315</v>
      </c>
      <c r="C41" s="363">
        <f>SUM(C42:C44)</f>
        <v>335236.17</v>
      </c>
      <c r="D41" s="364"/>
      <c r="E41" s="364"/>
      <c r="F41" s="365"/>
      <c r="G41" s="365"/>
    </row>
    <row r="42" spans="1:7" s="307" customFormat="1" ht="18" customHeight="1" x14ac:dyDescent="0.2">
      <c r="A42" s="366" t="s">
        <v>441</v>
      </c>
      <c r="B42" s="18" t="s">
        <v>654</v>
      </c>
      <c r="C42" s="367">
        <v>103804.98</v>
      </c>
      <c r="D42" s="368"/>
      <c r="E42" s="368"/>
      <c r="F42" s="369"/>
      <c r="G42" s="369"/>
    </row>
    <row r="43" spans="1:7" s="307" customFormat="1" ht="18" customHeight="1" x14ac:dyDescent="0.2">
      <c r="A43" s="366" t="s">
        <v>442</v>
      </c>
      <c r="B43" s="18" t="s">
        <v>655</v>
      </c>
      <c r="C43" s="367">
        <v>231240.39</v>
      </c>
      <c r="D43" s="368"/>
      <c r="E43" s="368"/>
      <c r="F43" s="369"/>
      <c r="G43" s="369"/>
    </row>
    <row r="44" spans="1:7" s="307" customFormat="1" ht="18" customHeight="1" x14ac:dyDescent="0.2">
      <c r="A44" s="366" t="s">
        <v>420</v>
      </c>
      <c r="B44" s="18" t="s">
        <v>656</v>
      </c>
      <c r="C44" s="367">
        <v>190.8</v>
      </c>
      <c r="D44" s="368"/>
      <c r="E44" s="368"/>
      <c r="F44" s="369"/>
      <c r="G44" s="369"/>
    </row>
    <row r="45" spans="1:7" s="307" customFormat="1" ht="18.600000000000001" customHeight="1" x14ac:dyDescent="0.2">
      <c r="A45" s="361" t="s">
        <v>443</v>
      </c>
      <c r="B45" s="362" t="s">
        <v>591</v>
      </c>
      <c r="C45" s="374">
        <f>SUM(C46:C48)</f>
        <v>539400</v>
      </c>
      <c r="D45" s="375"/>
      <c r="E45" s="375"/>
      <c r="F45" s="365"/>
      <c r="G45" s="365"/>
    </row>
    <row r="46" spans="1:7" s="307" customFormat="1" ht="18" customHeight="1" x14ac:dyDescent="0.2">
      <c r="A46" s="366" t="s">
        <v>444</v>
      </c>
      <c r="B46" s="18" t="s">
        <v>657</v>
      </c>
      <c r="C46" s="367">
        <v>439392.29</v>
      </c>
      <c r="D46" s="368"/>
      <c r="E46" s="368"/>
      <c r="F46" s="369"/>
      <c r="G46" s="369"/>
    </row>
    <row r="47" spans="1:7" s="307" customFormat="1" ht="18" customHeight="1" x14ac:dyDescent="0.2">
      <c r="A47" s="366" t="s">
        <v>445</v>
      </c>
      <c r="B47" s="18" t="s">
        <v>658</v>
      </c>
      <c r="C47" s="367">
        <f>1557.01+1886.4</f>
        <v>3443.41</v>
      </c>
      <c r="D47" s="368"/>
      <c r="E47" s="368"/>
      <c r="F47" s="369"/>
      <c r="G47" s="369"/>
    </row>
    <row r="48" spans="1:7" s="307" customFormat="1" ht="12.75" customHeight="1" x14ac:dyDescent="0.2">
      <c r="A48" s="366" t="s">
        <v>420</v>
      </c>
      <c r="B48" s="18" t="s">
        <v>659</v>
      </c>
      <c r="C48" s="367">
        <v>96564.3</v>
      </c>
      <c r="D48" s="368"/>
      <c r="E48" s="368"/>
      <c r="F48" s="369"/>
      <c r="G48" s="369"/>
    </row>
    <row r="49" spans="1:7" s="307" customFormat="1" ht="18" customHeight="1" x14ac:dyDescent="0.2">
      <c r="A49" s="361" t="s">
        <v>446</v>
      </c>
      <c r="B49" s="362" t="s">
        <v>310</v>
      </c>
      <c r="C49" s="374">
        <f>C50</f>
        <v>13310.06</v>
      </c>
      <c r="D49" s="375"/>
      <c r="E49" s="375"/>
      <c r="F49" s="365"/>
      <c r="G49" s="365"/>
    </row>
    <row r="50" spans="1:7" s="307" customFormat="1" ht="18" customHeight="1" x14ac:dyDescent="0.2">
      <c r="A50" s="366" t="s">
        <v>447</v>
      </c>
      <c r="B50" s="18" t="s">
        <v>660</v>
      </c>
      <c r="C50" s="367">
        <v>13310.06</v>
      </c>
      <c r="D50" s="368"/>
      <c r="E50" s="368"/>
      <c r="F50" s="369"/>
      <c r="G50" s="369"/>
    </row>
    <row r="51" spans="1:7" s="307" customFormat="1" ht="18" customHeight="1" x14ac:dyDescent="0.2">
      <c r="A51" s="366" t="s">
        <v>448</v>
      </c>
      <c r="B51" s="18" t="s">
        <v>418</v>
      </c>
      <c r="C51" s="367"/>
      <c r="D51" s="368"/>
      <c r="E51" s="368"/>
      <c r="F51" s="369"/>
      <c r="G51" s="369"/>
    </row>
    <row r="52" spans="1:7" s="307" customFormat="1" ht="18" customHeight="1" x14ac:dyDescent="0.2">
      <c r="A52" s="366" t="s">
        <v>420</v>
      </c>
      <c r="B52" s="18" t="s">
        <v>418</v>
      </c>
      <c r="C52" s="367"/>
      <c r="D52" s="368"/>
      <c r="E52" s="368"/>
      <c r="F52" s="369"/>
      <c r="G52" s="369"/>
    </row>
    <row r="53" spans="1:7" s="307" customFormat="1" ht="18" customHeight="1" x14ac:dyDescent="0.2">
      <c r="A53" s="361" t="s">
        <v>449</v>
      </c>
      <c r="B53" s="362" t="s">
        <v>317</v>
      </c>
      <c r="C53" s="363">
        <f>SUM(C54:C56)</f>
        <v>347455.48</v>
      </c>
      <c r="D53" s="364"/>
      <c r="E53" s="364"/>
      <c r="F53" s="365"/>
      <c r="G53" s="365"/>
    </row>
    <row r="54" spans="1:7" s="307" customFormat="1" ht="18" customHeight="1" x14ac:dyDescent="0.2">
      <c r="A54" s="309" t="s">
        <v>450</v>
      </c>
      <c r="B54" s="17" t="s">
        <v>661</v>
      </c>
      <c r="C54" s="310">
        <v>281899.09000000003</v>
      </c>
      <c r="D54" s="311"/>
      <c r="E54" s="311"/>
      <c r="F54" s="312"/>
      <c r="G54" s="312"/>
    </row>
    <row r="55" spans="1:7" s="307" customFormat="1" ht="18" customHeight="1" x14ac:dyDescent="0.2">
      <c r="A55" s="309" t="s">
        <v>451</v>
      </c>
      <c r="B55" s="17" t="s">
        <v>655</v>
      </c>
      <c r="C55" s="310">
        <v>65456.29</v>
      </c>
      <c r="D55" s="311"/>
      <c r="E55" s="311"/>
      <c r="F55" s="312"/>
      <c r="G55" s="312"/>
    </row>
    <row r="56" spans="1:7" s="307" customFormat="1" ht="18" customHeight="1" x14ac:dyDescent="0.2">
      <c r="A56" s="309" t="s">
        <v>420</v>
      </c>
      <c r="B56" s="17" t="s">
        <v>653</v>
      </c>
      <c r="C56" s="310">
        <v>100.1</v>
      </c>
      <c r="D56" s="311"/>
      <c r="E56" s="311"/>
      <c r="F56" s="312"/>
      <c r="G56" s="312"/>
    </row>
    <row r="57" spans="1:7" s="307" customFormat="1" ht="18" customHeight="1" x14ac:dyDescent="0.2">
      <c r="A57" s="356"/>
      <c r="B57" s="357" t="s">
        <v>325</v>
      </c>
      <c r="C57" s="358">
        <f>C58+C73+C74</f>
        <v>607236</v>
      </c>
      <c r="D57" s="359"/>
      <c r="E57" s="359"/>
      <c r="F57" s="360"/>
      <c r="G57" s="360"/>
    </row>
    <row r="58" spans="1:7" s="316" customFormat="1" ht="18" customHeight="1" x14ac:dyDescent="0.2">
      <c r="A58" s="376" t="s">
        <v>415</v>
      </c>
      <c r="B58" s="151" t="s">
        <v>597</v>
      </c>
      <c r="C58" s="377">
        <f>SUM(C59:C68)</f>
        <v>555065</v>
      </c>
      <c r="D58" s="377"/>
      <c r="E58" s="377"/>
      <c r="F58" s="377"/>
      <c r="G58" s="377"/>
    </row>
    <row r="59" spans="1:7" s="307" customFormat="1" ht="18" customHeight="1" x14ac:dyDescent="0.2">
      <c r="A59" s="317" t="s">
        <v>453</v>
      </c>
      <c r="B59" s="18" t="s">
        <v>664</v>
      </c>
      <c r="C59" s="318">
        <v>397640</v>
      </c>
      <c r="D59" s="318"/>
      <c r="E59" s="318"/>
      <c r="F59" s="318"/>
      <c r="G59" s="318"/>
    </row>
    <row r="60" spans="1:7" s="307" customFormat="1" ht="18" customHeight="1" x14ac:dyDescent="0.2">
      <c r="A60" s="317" t="s">
        <v>416</v>
      </c>
      <c r="B60" s="18" t="s">
        <v>665</v>
      </c>
      <c r="C60" s="318">
        <v>66950</v>
      </c>
      <c r="D60" s="318"/>
      <c r="E60" s="318"/>
      <c r="F60" s="318"/>
      <c r="G60" s="318"/>
    </row>
    <row r="61" spans="1:7" s="307" customFormat="1" ht="18" customHeight="1" x14ac:dyDescent="0.2">
      <c r="A61" s="317" t="s">
        <v>421</v>
      </c>
      <c r="B61" s="18" t="s">
        <v>666</v>
      </c>
      <c r="C61" s="318">
        <v>39605</v>
      </c>
      <c r="D61" s="318"/>
      <c r="E61" s="318"/>
      <c r="F61" s="318"/>
      <c r="G61" s="318"/>
    </row>
    <row r="62" spans="1:7" s="307" customFormat="1" ht="18" customHeight="1" x14ac:dyDescent="0.2">
      <c r="A62" s="317" t="s">
        <v>424</v>
      </c>
      <c r="B62" s="18" t="s">
        <v>667</v>
      </c>
      <c r="C62" s="318">
        <v>31615</v>
      </c>
      <c r="D62" s="318"/>
      <c r="E62" s="318"/>
      <c r="F62" s="318"/>
      <c r="G62" s="318"/>
    </row>
    <row r="63" spans="1:7" s="307" customFormat="1" ht="18" customHeight="1" x14ac:dyDescent="0.2">
      <c r="A63" s="317" t="s">
        <v>662</v>
      </c>
      <c r="B63" s="18" t="s">
        <v>668</v>
      </c>
      <c r="C63" s="318">
        <v>3393</v>
      </c>
      <c r="D63" s="318">
        <v>2620</v>
      </c>
      <c r="E63" s="318"/>
      <c r="F63" s="318">
        <v>2620</v>
      </c>
      <c r="G63" s="318"/>
    </row>
    <row r="64" spans="1:7" s="307" customFormat="1" ht="18" customHeight="1" x14ac:dyDescent="0.2">
      <c r="A64" s="317" t="s">
        <v>663</v>
      </c>
      <c r="B64" s="18" t="s">
        <v>669</v>
      </c>
      <c r="C64" s="318">
        <v>10335</v>
      </c>
      <c r="D64" s="318">
        <v>8530</v>
      </c>
      <c r="E64" s="318"/>
      <c r="F64" s="318">
        <v>8530</v>
      </c>
      <c r="G64" s="318"/>
    </row>
    <row r="65" spans="1:7" s="307" customFormat="1" ht="18" customHeight="1" x14ac:dyDescent="0.2">
      <c r="A65" s="317" t="s">
        <v>672</v>
      </c>
      <c r="B65" s="18" t="s">
        <v>671</v>
      </c>
      <c r="C65" s="318">
        <v>25367</v>
      </c>
      <c r="D65" s="318">
        <v>25367</v>
      </c>
      <c r="E65" s="318"/>
      <c r="F65" s="318">
        <v>25367</v>
      </c>
      <c r="G65" s="318"/>
    </row>
    <row r="66" spans="1:7" s="307" customFormat="1" ht="18" customHeight="1" x14ac:dyDescent="0.2">
      <c r="A66" s="317" t="s">
        <v>673</v>
      </c>
      <c r="B66" s="18" t="s">
        <v>670</v>
      </c>
      <c r="C66" s="318">
        <v>-25367</v>
      </c>
      <c r="D66" s="318"/>
      <c r="E66" s="318"/>
      <c r="F66" s="318"/>
      <c r="G66" s="318"/>
    </row>
    <row r="67" spans="1:7" s="307" customFormat="1" ht="18" customHeight="1" x14ac:dyDescent="0.2">
      <c r="A67" s="317" t="s">
        <v>674</v>
      </c>
      <c r="B67" s="18" t="s">
        <v>653</v>
      </c>
      <c r="C67" s="318">
        <v>183738</v>
      </c>
      <c r="D67" s="318">
        <f>52+178211</f>
        <v>178263</v>
      </c>
      <c r="E67" s="318"/>
      <c r="F67" s="318">
        <f>52+178211</f>
        <v>178263</v>
      </c>
      <c r="G67" s="318"/>
    </row>
    <row r="68" spans="1:7" s="307" customFormat="1" ht="18" customHeight="1" x14ac:dyDescent="0.2">
      <c r="A68" s="317" t="s">
        <v>679</v>
      </c>
      <c r="B68" s="18" t="s">
        <v>675</v>
      </c>
      <c r="C68" s="318">
        <v>-178211</v>
      </c>
      <c r="D68" s="318"/>
      <c r="E68" s="318"/>
      <c r="F68" s="318"/>
      <c r="G68" s="318"/>
    </row>
    <row r="69" spans="1:7" s="316" customFormat="1" ht="18" customHeight="1" x14ac:dyDescent="0.2">
      <c r="A69" s="376" t="s">
        <v>427</v>
      </c>
      <c r="B69" s="151" t="s">
        <v>326</v>
      </c>
      <c r="C69" s="377"/>
      <c r="D69" s="377"/>
      <c r="E69" s="377"/>
      <c r="F69" s="377"/>
      <c r="G69" s="377"/>
    </row>
    <row r="70" spans="1:7" s="307" customFormat="1" ht="18" hidden="1" customHeight="1" x14ac:dyDescent="0.2">
      <c r="A70" s="317" t="s">
        <v>428</v>
      </c>
      <c r="B70" s="18" t="s">
        <v>418</v>
      </c>
      <c r="C70" s="318"/>
      <c r="D70" s="318"/>
      <c r="E70" s="318"/>
      <c r="F70" s="318"/>
      <c r="G70" s="318"/>
    </row>
    <row r="71" spans="1:7" s="307" customFormat="1" ht="18" hidden="1" customHeight="1" x14ac:dyDescent="0.2">
      <c r="A71" s="317" t="s">
        <v>431</v>
      </c>
      <c r="B71" s="18" t="s">
        <v>418</v>
      </c>
      <c r="C71" s="318"/>
      <c r="D71" s="318"/>
      <c r="E71" s="318"/>
      <c r="F71" s="318"/>
      <c r="G71" s="318"/>
    </row>
    <row r="72" spans="1:7" s="307" customFormat="1" ht="18" hidden="1" customHeight="1" x14ac:dyDescent="0.2">
      <c r="A72" s="317" t="s">
        <v>420</v>
      </c>
      <c r="B72" s="18" t="s">
        <v>418</v>
      </c>
      <c r="C72" s="318"/>
      <c r="D72" s="318"/>
      <c r="E72" s="318"/>
      <c r="F72" s="318"/>
      <c r="G72" s="318"/>
    </row>
    <row r="73" spans="1:7" s="316" customFormat="1" ht="18" customHeight="1" x14ac:dyDescent="0.2">
      <c r="A73" s="376" t="s">
        <v>454</v>
      </c>
      <c r="B73" s="151" t="s">
        <v>327</v>
      </c>
      <c r="C73" s="377">
        <v>1037</v>
      </c>
      <c r="D73" s="377"/>
      <c r="E73" s="377"/>
      <c r="F73" s="377"/>
      <c r="G73" s="377"/>
    </row>
    <row r="74" spans="1:7" s="316" customFormat="1" ht="18" customHeight="1" x14ac:dyDescent="0.2">
      <c r="A74" s="376" t="s">
        <v>455</v>
      </c>
      <c r="B74" s="151" t="s">
        <v>596</v>
      </c>
      <c r="C74" s="377">
        <f>SUM(C75:C79)</f>
        <v>51134</v>
      </c>
      <c r="D74" s="377"/>
      <c r="E74" s="377"/>
      <c r="F74" s="377"/>
      <c r="G74" s="377"/>
    </row>
    <row r="75" spans="1:7" s="307" customFormat="1" ht="18" customHeight="1" x14ac:dyDescent="0.2">
      <c r="A75" s="317" t="s">
        <v>456</v>
      </c>
      <c r="B75" s="18" t="s">
        <v>680</v>
      </c>
      <c r="C75" s="318">
        <v>12413</v>
      </c>
      <c r="D75" s="318"/>
      <c r="E75" s="318"/>
      <c r="F75" s="318"/>
      <c r="G75" s="318"/>
    </row>
    <row r="76" spans="1:7" s="307" customFormat="1" ht="18" customHeight="1" x14ac:dyDescent="0.2">
      <c r="A76" s="317" t="s">
        <v>457</v>
      </c>
      <c r="B76" s="18" t="s">
        <v>655</v>
      </c>
      <c r="C76" s="318">
        <v>3017</v>
      </c>
      <c r="D76" s="318"/>
      <c r="E76" s="318"/>
      <c r="F76" s="318"/>
      <c r="G76" s="318"/>
    </row>
    <row r="77" spans="1:7" s="307" customFormat="1" ht="18" customHeight="1" x14ac:dyDescent="0.2">
      <c r="A77" s="317" t="s">
        <v>676</v>
      </c>
      <c r="B77" s="18" t="s">
        <v>681</v>
      </c>
      <c r="C77" s="318">
        <v>5784</v>
      </c>
      <c r="D77" s="318"/>
      <c r="E77" s="318"/>
      <c r="F77" s="318"/>
      <c r="G77" s="318"/>
    </row>
    <row r="78" spans="1:7" s="307" customFormat="1" ht="33" customHeight="1" x14ac:dyDescent="0.2">
      <c r="A78" s="317" t="s">
        <v>677</v>
      </c>
      <c r="B78" s="18" t="s">
        <v>683</v>
      </c>
      <c r="C78" s="318">
        <v>21232</v>
      </c>
      <c r="D78" s="318"/>
      <c r="E78" s="318"/>
      <c r="F78" s="318"/>
      <c r="G78" s="318"/>
    </row>
    <row r="79" spans="1:7" s="307" customFormat="1" ht="18" customHeight="1" x14ac:dyDescent="0.2">
      <c r="A79" s="317" t="s">
        <v>678</v>
      </c>
      <c r="B79" s="18" t="s">
        <v>682</v>
      </c>
      <c r="C79" s="318">
        <v>8688</v>
      </c>
      <c r="D79" s="318"/>
      <c r="E79" s="318"/>
      <c r="F79" s="318"/>
      <c r="G79" s="318"/>
    </row>
    <row r="80" spans="1:7" s="316" customFormat="1" ht="18" customHeight="1" x14ac:dyDescent="0.2">
      <c r="A80" s="376" t="s">
        <v>458</v>
      </c>
      <c r="B80" s="151" t="s">
        <v>595</v>
      </c>
      <c r="C80" s="377"/>
      <c r="D80" s="377"/>
      <c r="E80" s="377"/>
      <c r="F80" s="377"/>
      <c r="G80" s="377"/>
    </row>
    <row r="81" spans="1:7" s="307" customFormat="1" ht="0.75" customHeight="1" x14ac:dyDescent="0.2">
      <c r="A81" s="317" t="s">
        <v>459</v>
      </c>
      <c r="B81" s="18" t="s">
        <v>418</v>
      </c>
      <c r="C81" s="318"/>
      <c r="D81" s="318"/>
      <c r="E81" s="318"/>
      <c r="F81" s="318"/>
      <c r="G81" s="318"/>
    </row>
    <row r="82" spans="1:7" s="307" customFormat="1" ht="18" hidden="1" customHeight="1" x14ac:dyDescent="0.2">
      <c r="A82" s="317" t="s">
        <v>460</v>
      </c>
      <c r="B82" s="18" t="s">
        <v>418</v>
      </c>
      <c r="C82" s="318"/>
      <c r="D82" s="318"/>
      <c r="E82" s="318"/>
      <c r="F82" s="318"/>
      <c r="G82" s="318"/>
    </row>
    <row r="83" spans="1:7" s="307" customFormat="1" ht="18" hidden="1" customHeight="1" x14ac:dyDescent="0.2">
      <c r="A83" s="317" t="s">
        <v>420</v>
      </c>
      <c r="B83" s="18" t="s">
        <v>418</v>
      </c>
      <c r="C83" s="318"/>
      <c r="D83" s="318"/>
      <c r="E83" s="318"/>
      <c r="F83" s="318"/>
      <c r="G83" s="318"/>
    </row>
    <row r="84" spans="1:7" s="316" customFormat="1" ht="18" customHeight="1" x14ac:dyDescent="0.2">
      <c r="A84" s="376" t="s">
        <v>461</v>
      </c>
      <c r="B84" s="378" t="s">
        <v>594</v>
      </c>
      <c r="C84" s="377"/>
      <c r="D84" s="377"/>
      <c r="E84" s="377"/>
      <c r="F84" s="377"/>
      <c r="G84" s="377"/>
    </row>
    <row r="86" spans="1:7" x14ac:dyDescent="0.2">
      <c r="A86" s="51" t="s">
        <v>497</v>
      </c>
    </row>
    <row r="87" spans="1:7" ht="30.95" customHeight="1" x14ac:dyDescent="0.2">
      <c r="A87" s="560" t="s">
        <v>592</v>
      </c>
      <c r="B87" s="560"/>
      <c r="C87" s="560"/>
      <c r="D87" s="560"/>
    </row>
    <row r="88" spans="1:7" ht="30.95" customHeight="1" x14ac:dyDescent="0.2">
      <c r="A88" s="560" t="s">
        <v>593</v>
      </c>
      <c r="B88" s="560"/>
      <c r="C88" s="560"/>
      <c r="D88" s="560"/>
    </row>
  </sheetData>
  <mergeCells count="2">
    <mergeCell ref="A87:D87"/>
    <mergeCell ref="A88:D88"/>
  </mergeCells>
  <pageMargins left="0.25" right="0.25" top="0.75" bottom="0.75" header="0.3" footer="0.3"/>
  <pageSetup paperSize="9" scale="93" fitToHeight="0" orientation="landscape" verticalDpi="90" r:id="rId1"/>
  <headerFooter>
    <oddHeader>&amp;C&amp;"Times New Roman,Bold"&amp;14Kreditori un debitori&amp;R&amp;"Times New Roman,Regular"&amp;14 7.pielikums</oddHeader>
    <oddFooter>&amp;C&amp;F&amp;R&amp;P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8</vt:i4>
      </vt:variant>
    </vt:vector>
  </HeadingPairs>
  <TitlesOfParts>
    <vt:vector size="15" baseType="lpstr">
      <vt:lpstr>Budžeta tāme</vt:lpstr>
      <vt:lpstr>PZ Aprēķins</vt:lpstr>
      <vt:lpstr>Bilance</vt:lpstr>
      <vt:lpstr>Naudas plūsma</vt:lpstr>
      <vt:lpstr>Naturālie rādītāji</vt:lpstr>
      <vt:lpstr>Ieguldījumu tāme</vt:lpstr>
      <vt:lpstr>Kreditori,Debitori</vt:lpstr>
      <vt:lpstr>'Budžeta tāme'!Drukas_apgabals</vt:lpstr>
      <vt:lpstr>'Ieguldījumu tāme'!Drukas_apgabals</vt:lpstr>
      <vt:lpstr>'Naudas plūsma'!Drukas_apgabals</vt:lpstr>
      <vt:lpstr>Bilance!Drukāt_virsrakstus</vt:lpstr>
      <vt:lpstr>'Budžeta tāme'!Drukāt_virsrakstus</vt:lpstr>
      <vt:lpstr>'Naturālie rādītāji'!Drukāt_virsrakstus</vt:lpstr>
      <vt:lpstr>'Naudas plūsma'!Drukāt_virsrakstus</vt:lpstr>
      <vt:lpstr>'PZ Aprēķins'!Drukāt_virsrakstus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Modris Putns</cp:lastModifiedBy>
  <cp:lastPrinted>2023-05-02T07:44:09Z</cp:lastPrinted>
  <dcterms:created xsi:type="dcterms:W3CDTF">2015-06-08T06:33:04Z</dcterms:created>
  <dcterms:modified xsi:type="dcterms:W3CDTF">2023-08-22T08:21:38Z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