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https://gintermuiza-my.sharepoint.com/personal/modris_putns_gintermuiza_lv/Documents/Darbvirsma/tmp/"/>
    </mc:Choice>
  </mc:AlternateContent>
  <xr:revisionPtr revIDLastSave="524" documentId="8_{564144E2-5E80-4338-AD95-8128E197F8B6}" xr6:coauthVersionLast="47" xr6:coauthVersionMax="47" xr10:uidLastSave="{0B5D51A7-B38A-4334-B1D8-832E6C12D1DC}"/>
  <workbookProtection lockStructure="1"/>
  <bookViews>
    <workbookView xWindow="-120" yWindow="-120" windowWidth="29040" windowHeight="15720" firstSheet="1" activeTab="1" xr2:uid="{00000000-000D-0000-FFFF-FFFF00000000}"/>
  </bookViews>
  <sheets>
    <sheet name="Budžeta tāme" sheetId="2" r:id="rId1"/>
    <sheet name="PZ Aprēķins" sheetId="12" r:id="rId2"/>
    <sheet name="Bilance" sheetId="11" r:id="rId3"/>
    <sheet name="Naudas plūsma" sheetId="5" r:id="rId4"/>
  </sheets>
  <externalReferences>
    <externalReference r:id="rId5"/>
  </externalReferences>
  <definedNames>
    <definedName name="dff">#NAME?</definedName>
    <definedName name="_xlnm.Print_Area" localSheetId="0">'Budžeta tāme'!$A$1:$X$181</definedName>
    <definedName name="_xlnm.Print_Area" localSheetId="3">'Naudas plūsma'!$A$1:$X$57</definedName>
    <definedName name="_xlnm.Print_Titles" localSheetId="2">Bilance!$1:$2</definedName>
    <definedName name="_xlnm.Print_Titles" localSheetId="0">'Budžeta tāme'!$1:$2</definedName>
    <definedName name="_xlnm.Print_Titles" localSheetId="3">'Naudas plūsma'!$1:$2</definedName>
    <definedName name="_xlnm.Print_Titles" localSheetId="1">'PZ Aprēķins'!$1:$2</definedName>
    <definedName name="hh">#REF!</definedName>
    <definedName name="izm.kods">#REF!</definedName>
    <definedName name="izm.kods_1">[1]izm.posteni!$A$2:$A$216</definedName>
    <definedName name="izm.nos">#REF!</definedName>
    <definedName name="izm.nos_1">[1]izm.posteni!$B$2:$B$216</definedName>
    <definedName name="S5\">#REF!</definedName>
    <definedName name="Str.">#REF!</definedName>
    <definedName name="Str.vien.nos.">#REF!</definedName>
    <definedName name="Struktura">#REF!</definedName>
    <definedName name="Struktūrvien.kodi2">#REF!</definedName>
    <definedName name="Struktūrvien.kodi2_1">[1]strukturkodi!$B$2:$B$232</definedName>
    <definedName name="Struktūrvien.kods">#REF!</definedName>
    <definedName name="Struktūrvien.kods_1">[1]strukturkodi!$A$2:$A$232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2" l="1"/>
  <c r="P8" i="12" l="1"/>
  <c r="P175" i="2"/>
  <c r="O175" i="2"/>
  <c r="P174" i="2"/>
  <c r="O174" i="2"/>
  <c r="P149" i="2"/>
  <c r="P167" i="2"/>
  <c r="Q139" i="2"/>
  <c r="R139" i="2" s="1"/>
  <c r="P115" i="2"/>
  <c r="Q60" i="2"/>
  <c r="R60" i="2" s="1"/>
  <c r="Q63" i="2"/>
  <c r="R63" i="2" s="1"/>
  <c r="Q61" i="2"/>
  <c r="R61" i="2" s="1"/>
  <c r="Q62" i="2"/>
  <c r="R62" i="2" s="1"/>
  <c r="Q64" i="2"/>
  <c r="R64" i="2" s="1"/>
  <c r="Q25" i="2"/>
  <c r="R25" i="2" s="1"/>
  <c r="P76" i="11" l="1"/>
  <c r="P74" i="11"/>
  <c r="P44" i="11"/>
  <c r="Q44" i="11" s="1"/>
  <c r="R44" i="11" s="1"/>
  <c r="P4" i="11" l="1"/>
  <c r="P57" i="2" l="1"/>
  <c r="P51" i="2"/>
  <c r="P47" i="2"/>
  <c r="P38" i="2"/>
  <c r="P45" i="2"/>
  <c r="P43" i="2"/>
  <c r="P41" i="2"/>
  <c r="P17" i="5"/>
  <c r="P18" i="5"/>
  <c r="P3" i="5" l="1"/>
  <c r="M60" i="2"/>
  <c r="L65" i="2"/>
  <c r="M65" i="2" s="1"/>
  <c r="L64" i="2"/>
  <c r="M64" i="2" s="1"/>
  <c r="L62" i="2"/>
  <c r="M62" i="2" s="1"/>
  <c r="L61" i="2"/>
  <c r="M61" i="2" s="1"/>
  <c r="K36" i="11"/>
  <c r="K6" i="5" l="1"/>
  <c r="K76" i="11"/>
  <c r="K46" i="11"/>
  <c r="K4" i="11"/>
  <c r="K25" i="2" l="1"/>
  <c r="K23" i="2"/>
  <c r="K8" i="12"/>
  <c r="E174" i="2"/>
  <c r="F174" i="2"/>
  <c r="G174" i="2"/>
  <c r="H174" i="2"/>
  <c r="I174" i="2"/>
  <c r="K174" i="2"/>
  <c r="E175" i="2"/>
  <c r="F175" i="2"/>
  <c r="G175" i="2"/>
  <c r="H175" i="2"/>
  <c r="I175" i="2"/>
  <c r="K175" i="2"/>
  <c r="K149" i="2"/>
  <c r="L139" i="2"/>
  <c r="M139" i="2" s="1"/>
  <c r="K115" i="2"/>
  <c r="K70" i="2"/>
  <c r="K38" i="2"/>
  <c r="K6" i="2"/>
  <c r="K29" i="2"/>
  <c r="K28" i="2"/>
  <c r="K27" i="2"/>
  <c r="K26" i="2"/>
  <c r="K12" i="2"/>
  <c r="K11" i="2"/>
  <c r="K8" i="2"/>
  <c r="K7" i="2"/>
  <c r="K51" i="5"/>
  <c r="K3" i="5"/>
  <c r="K18" i="5"/>
  <c r="O17" i="5" l="1"/>
  <c r="D8" i="12" l="1"/>
  <c r="O81" i="2" l="1"/>
  <c r="J81" i="2"/>
  <c r="D81" i="2"/>
  <c r="O88" i="2"/>
  <c r="D90" i="2"/>
  <c r="J90" i="2"/>
  <c r="O90" i="2"/>
  <c r="T64" i="2" l="1"/>
  <c r="T65" i="2"/>
  <c r="T29" i="2"/>
  <c r="F46" i="11" l="1"/>
  <c r="F4" i="11"/>
  <c r="F25" i="2"/>
  <c r="F8" i="12" s="1"/>
  <c r="F29" i="2"/>
  <c r="F149" i="2"/>
  <c r="F115" i="2"/>
  <c r="F38" i="2"/>
  <c r="F26" i="2"/>
  <c r="F8" i="2"/>
  <c r="F7" i="2"/>
  <c r="F6" i="2"/>
  <c r="G26" i="2" l="1"/>
  <c r="T46" i="5"/>
  <c r="T39" i="5"/>
  <c r="D38" i="2" l="1"/>
  <c r="D106" i="2"/>
  <c r="G139" i="2" l="1"/>
  <c r="H139" i="2" s="1"/>
  <c r="E114" i="2" l="1"/>
  <c r="D11" i="2" l="1"/>
  <c r="F51" i="5" l="1"/>
  <c r="F17" i="5"/>
  <c r="F3" i="5"/>
  <c r="F18" i="5"/>
  <c r="F7" i="5"/>
  <c r="E5" i="5"/>
  <c r="E17" i="5" l="1"/>
  <c r="E51" i="2"/>
  <c r="E43" i="2"/>
  <c r="E45" i="2"/>
  <c r="E38" i="2"/>
  <c r="E47" i="2"/>
  <c r="T76" i="11"/>
  <c r="O38" i="2"/>
  <c r="J38" i="2"/>
  <c r="E9" i="5" l="1"/>
  <c r="E8" i="5"/>
  <c r="T74" i="11" l="1"/>
  <c r="O4" i="11"/>
  <c r="J4" i="11"/>
  <c r="E4" i="11"/>
  <c r="D78" i="11" l="1"/>
  <c r="T78" i="11" s="1"/>
  <c r="D149" i="2" l="1"/>
  <c r="O149" i="2"/>
  <c r="J149" i="2"/>
  <c r="D4" i="11"/>
  <c r="T44" i="11"/>
  <c r="T43" i="11"/>
  <c r="T40" i="11"/>
  <c r="T37" i="11"/>
  <c r="T34" i="11"/>
  <c r="T27" i="11"/>
  <c r="T20" i="11"/>
  <c r="T13" i="11"/>
  <c r="T14" i="11"/>
  <c r="T15" i="11"/>
  <c r="T12" i="11"/>
  <c r="T10" i="11"/>
  <c r="T6" i="11"/>
  <c r="T4" i="11" s="1"/>
  <c r="T11" i="11" l="1"/>
  <c r="I47" i="11"/>
  <c r="T3" i="5" l="1"/>
  <c r="O3" i="5"/>
  <c r="J3" i="5"/>
  <c r="E3" i="5"/>
  <c r="T18" i="5"/>
  <c r="T17" i="5"/>
  <c r="D3" i="5" l="1"/>
  <c r="T13" i="5"/>
  <c r="T12" i="5"/>
  <c r="T9" i="5"/>
  <c r="T8" i="5"/>
  <c r="T7" i="5"/>
  <c r="O31" i="5"/>
  <c r="J31" i="5"/>
  <c r="E31" i="5"/>
  <c r="D31" i="5"/>
  <c r="T31" i="5" s="1"/>
  <c r="O30" i="5"/>
  <c r="J30" i="5"/>
  <c r="E30" i="5"/>
  <c r="D30" i="5"/>
  <c r="T30" i="5" s="1"/>
  <c r="T77" i="11"/>
  <c r="D67" i="11" l="1"/>
  <c r="T67" i="11" s="1"/>
  <c r="D56" i="11"/>
  <c r="O56" i="11" s="1"/>
  <c r="O7" i="12"/>
  <c r="J7" i="12"/>
  <c r="E7" i="12"/>
  <c r="D7" i="12"/>
  <c r="T7" i="12" s="1"/>
  <c r="J56" i="11" l="1"/>
  <c r="T56" i="11"/>
  <c r="E56" i="11"/>
  <c r="D7" i="2"/>
  <c r="T57" i="2"/>
  <c r="T53" i="2"/>
  <c r="T51" i="2"/>
  <c r="T41" i="2"/>
  <c r="T42" i="2"/>
  <c r="T43" i="2"/>
  <c r="T44" i="2"/>
  <c r="T45" i="2"/>
  <c r="T46" i="2"/>
  <c r="T47" i="2"/>
  <c r="T48" i="2"/>
  <c r="T40" i="2"/>
  <c r="T37" i="2"/>
  <c r="T38" i="2"/>
  <c r="T36" i="2"/>
  <c r="T150" i="2" l="1"/>
  <c r="T151" i="2"/>
  <c r="T149" i="2"/>
  <c r="T147" i="2"/>
  <c r="T133" i="2" l="1"/>
  <c r="T134" i="2"/>
  <c r="T135" i="2"/>
  <c r="T136" i="2"/>
  <c r="T137" i="2"/>
  <c r="T138" i="2"/>
  <c r="T132" i="2"/>
  <c r="T128" i="2"/>
  <c r="T118" i="2"/>
  <c r="T121" i="2"/>
  <c r="T122" i="2"/>
  <c r="T120" i="2"/>
  <c r="T125" i="2"/>
  <c r="T116" i="2"/>
  <c r="T117" i="2"/>
  <c r="T115" i="2"/>
  <c r="T111" i="2"/>
  <c r="T110" i="2"/>
  <c r="T106" i="2"/>
  <c r="T107" i="2"/>
  <c r="T108" i="2"/>
  <c r="T105" i="2"/>
  <c r="T139" i="2"/>
  <c r="T94" i="2"/>
  <c r="T84" i="2"/>
  <c r="T85" i="2"/>
  <c r="T86" i="2"/>
  <c r="T87" i="2"/>
  <c r="T88" i="2"/>
  <c r="T89" i="2"/>
  <c r="T83" i="2"/>
  <c r="T77" i="2"/>
  <c r="T78" i="2"/>
  <c r="T79" i="2"/>
  <c r="T80" i="2"/>
  <c r="T81" i="2"/>
  <c r="T76" i="2"/>
  <c r="T70" i="2"/>
  <c r="T71" i="2"/>
  <c r="T72" i="2"/>
  <c r="T69" i="2"/>
  <c r="T67" i="2"/>
  <c r="T31" i="2"/>
  <c r="T171" i="2"/>
  <c r="T168" i="2"/>
  <c r="T169" i="2"/>
  <c r="T162" i="2"/>
  <c r="O28" i="2"/>
  <c r="O27" i="2"/>
  <c r="O25" i="2"/>
  <c r="O8" i="12" s="1"/>
  <c r="Q8" i="12" s="1"/>
  <c r="R8" i="12" s="1"/>
  <c r="O23" i="2"/>
  <c r="O14" i="2"/>
  <c r="O12" i="2"/>
  <c r="O7" i="2"/>
  <c r="O8" i="2"/>
  <c r="O9" i="2"/>
  <c r="J28" i="2"/>
  <c r="J27" i="2"/>
  <c r="J25" i="2"/>
  <c r="J23" i="2"/>
  <c r="J12" i="2"/>
  <c r="J7" i="2"/>
  <c r="J8" i="2"/>
  <c r="J9" i="2"/>
  <c r="E28" i="2"/>
  <c r="E27" i="2"/>
  <c r="G27" i="2" s="1"/>
  <c r="E25" i="2"/>
  <c r="E23" i="2"/>
  <c r="E12" i="2"/>
  <c r="E7" i="2"/>
  <c r="E9" i="2"/>
  <c r="T24" i="2"/>
  <c r="T25" i="2"/>
  <c r="T26" i="2"/>
  <c r="T27" i="2"/>
  <c r="T28" i="2"/>
  <c r="T23" i="2"/>
  <c r="T14" i="2"/>
  <c r="T12" i="2"/>
  <c r="T11" i="2"/>
  <c r="T7" i="2"/>
  <c r="T8" i="2"/>
  <c r="T9" i="2"/>
  <c r="T6" i="2"/>
  <c r="T8" i="12" l="1"/>
  <c r="L25" i="2"/>
  <c r="M25" i="2" s="1"/>
  <c r="J8" i="12"/>
  <c r="G25" i="2"/>
  <c r="H25" i="2" s="1"/>
  <c r="E8" i="12"/>
  <c r="C25" i="2"/>
  <c r="L6" i="2" l="1"/>
  <c r="D70" i="11"/>
  <c r="U60" i="11"/>
  <c r="T60" i="11"/>
  <c r="V63" i="11"/>
  <c r="W63" i="11" s="1"/>
  <c r="V64" i="11"/>
  <c r="W64" i="11" s="1"/>
  <c r="V65" i="11"/>
  <c r="W65" i="11" s="1"/>
  <c r="V66" i="11"/>
  <c r="W66" i="11" s="1"/>
  <c r="V67" i="11"/>
  <c r="W67" i="11" s="1"/>
  <c r="V68" i="11"/>
  <c r="W68" i="11"/>
  <c r="V69" i="11"/>
  <c r="W69" i="11" s="1"/>
  <c r="Q63" i="11"/>
  <c r="R63" i="11" s="1"/>
  <c r="Q64" i="11"/>
  <c r="R64" i="11" s="1"/>
  <c r="Q65" i="11"/>
  <c r="R65" i="11" s="1"/>
  <c r="Q66" i="11"/>
  <c r="R66" i="11" s="1"/>
  <c r="Q67" i="11"/>
  <c r="R67" i="11" s="1"/>
  <c r="Q68" i="11"/>
  <c r="R68" i="11" s="1"/>
  <c r="Q69" i="11"/>
  <c r="R69" i="11" s="1"/>
  <c r="L63" i="11"/>
  <c r="M63" i="11" s="1"/>
  <c r="L64" i="11"/>
  <c r="M64" i="11" s="1"/>
  <c r="L65" i="11"/>
  <c r="M65" i="11" s="1"/>
  <c r="L66" i="11"/>
  <c r="M66" i="11" s="1"/>
  <c r="L67" i="11"/>
  <c r="M67" i="11" s="1"/>
  <c r="L68" i="11"/>
  <c r="M68" i="11" s="1"/>
  <c r="L69" i="11"/>
  <c r="M69" i="11" s="1"/>
  <c r="G63" i="11"/>
  <c r="H63" i="11" s="1"/>
  <c r="G64" i="11"/>
  <c r="H64" i="11" s="1"/>
  <c r="G65" i="11"/>
  <c r="H65" i="11" s="1"/>
  <c r="G66" i="11"/>
  <c r="H66" i="11" s="1"/>
  <c r="G67" i="11"/>
  <c r="H67" i="11" s="1"/>
  <c r="G68" i="11"/>
  <c r="H68" i="11" s="1"/>
  <c r="G69" i="11"/>
  <c r="H69" i="11" s="1"/>
  <c r="C60" i="11"/>
  <c r="L51" i="11"/>
  <c r="M51" i="11" s="1"/>
  <c r="Q51" i="11"/>
  <c r="R51" i="11" s="1"/>
  <c r="V51" i="11"/>
  <c r="W51" i="11" s="1"/>
  <c r="U52" i="11"/>
  <c r="T52" i="11"/>
  <c r="P52" i="11"/>
  <c r="O52" i="11"/>
  <c r="K52" i="11"/>
  <c r="J52" i="11"/>
  <c r="O36" i="11"/>
  <c r="J36" i="11"/>
  <c r="C36" i="11"/>
  <c r="U26" i="11"/>
  <c r="T26" i="11"/>
  <c r="O26" i="11"/>
  <c r="P26" i="11"/>
  <c r="K26" i="11"/>
  <c r="K25" i="11" s="1"/>
  <c r="J26" i="11"/>
  <c r="D26" i="11"/>
  <c r="E26" i="11"/>
  <c r="C26" i="11"/>
  <c r="L44" i="11"/>
  <c r="M44" i="11" s="1"/>
  <c r="L45" i="11"/>
  <c r="M45" i="11" s="1"/>
  <c r="G44" i="11"/>
  <c r="H44" i="11" s="1"/>
  <c r="G45" i="11"/>
  <c r="H45" i="11" s="1"/>
  <c r="V45" i="11"/>
  <c r="W45" i="11" s="1"/>
  <c r="U36" i="11"/>
  <c r="T36" i="11"/>
  <c r="V37" i="11"/>
  <c r="W37" i="11" s="1"/>
  <c r="V38" i="11"/>
  <c r="W38" i="11" s="1"/>
  <c r="V39" i="11"/>
  <c r="W39" i="11" s="1"/>
  <c r="V40" i="11"/>
  <c r="W40" i="11" s="1"/>
  <c r="V41" i="11"/>
  <c r="W41" i="11" s="1"/>
  <c r="V42" i="11"/>
  <c r="W42" i="11" s="1"/>
  <c r="V43" i="11"/>
  <c r="W43" i="11" s="1"/>
  <c r="V44" i="11"/>
  <c r="W44" i="11" s="1"/>
  <c r="Q37" i="11"/>
  <c r="R37" i="11" s="1"/>
  <c r="Q38" i="11"/>
  <c r="R38" i="11" s="1"/>
  <c r="Q39" i="11"/>
  <c r="R39" i="11" s="1"/>
  <c r="Q40" i="11"/>
  <c r="R40" i="11" s="1"/>
  <c r="Q41" i="11"/>
  <c r="R41" i="11" s="1"/>
  <c r="Q42" i="11"/>
  <c r="R42" i="11" s="1"/>
  <c r="Q43" i="11"/>
  <c r="R43" i="11" s="1"/>
  <c r="P36" i="11"/>
  <c r="P25" i="11" s="1"/>
  <c r="L37" i="11"/>
  <c r="M37" i="11" s="1"/>
  <c r="L38" i="11"/>
  <c r="M38" i="11" s="1"/>
  <c r="L39" i="11"/>
  <c r="M39" i="11" s="1"/>
  <c r="L40" i="11"/>
  <c r="M40" i="11" s="1"/>
  <c r="L41" i="11"/>
  <c r="M41" i="11" s="1"/>
  <c r="L42" i="11"/>
  <c r="M42" i="11" s="1"/>
  <c r="L43" i="11"/>
  <c r="M43" i="11" s="1"/>
  <c r="F36" i="11"/>
  <c r="G37" i="11"/>
  <c r="H37" i="11" s="1"/>
  <c r="G38" i="11"/>
  <c r="H38" i="11" s="1"/>
  <c r="G39" i="11"/>
  <c r="H39" i="11" s="1"/>
  <c r="G40" i="11"/>
  <c r="H40" i="11" s="1"/>
  <c r="G41" i="11"/>
  <c r="H41" i="11" s="1"/>
  <c r="G42" i="11"/>
  <c r="H42" i="11" s="1"/>
  <c r="G43" i="11"/>
  <c r="H43" i="11" s="1"/>
  <c r="D36" i="11"/>
  <c r="E36" i="11"/>
  <c r="V35" i="11"/>
  <c r="W35" i="11" s="1"/>
  <c r="Q35" i="11"/>
  <c r="R35" i="11" s="1"/>
  <c r="L35" i="11"/>
  <c r="M35" i="11" s="1"/>
  <c r="G31" i="11"/>
  <c r="H31" i="11" s="1"/>
  <c r="G32" i="11"/>
  <c r="H32" i="11" s="1"/>
  <c r="G33" i="11"/>
  <c r="H33" i="11" s="1"/>
  <c r="G34" i="11"/>
  <c r="H34" i="11" s="1"/>
  <c r="G35" i="11"/>
  <c r="H35" i="11" s="1"/>
  <c r="L31" i="11"/>
  <c r="M31" i="11" s="1"/>
  <c r="L32" i="11"/>
  <c r="M32" i="11" s="1"/>
  <c r="L33" i="11"/>
  <c r="M33" i="11" s="1"/>
  <c r="L34" i="11"/>
  <c r="M34" i="11" s="1"/>
  <c r="Q31" i="11"/>
  <c r="R31" i="11" s="1"/>
  <c r="Q32" i="11"/>
  <c r="R32" i="11" s="1"/>
  <c r="Q33" i="11"/>
  <c r="R33" i="11" s="1"/>
  <c r="Q34" i="11"/>
  <c r="R34" i="11" s="1"/>
  <c r="V31" i="11"/>
  <c r="W31" i="11" s="1"/>
  <c r="V32" i="11"/>
  <c r="W32" i="11" s="1"/>
  <c r="V33" i="11"/>
  <c r="W33" i="11" s="1"/>
  <c r="V34" i="11"/>
  <c r="W34" i="11" s="1"/>
  <c r="V22" i="11"/>
  <c r="W22" i="11" s="1"/>
  <c r="V23" i="11"/>
  <c r="W23" i="11" s="1"/>
  <c r="V24" i="11"/>
  <c r="W24" i="11" s="1"/>
  <c r="Q22" i="11"/>
  <c r="R22" i="11" s="1"/>
  <c r="Q23" i="11"/>
  <c r="R23" i="11" s="1"/>
  <c r="Q24" i="11"/>
  <c r="R24" i="11" s="1"/>
  <c r="M22" i="11"/>
  <c r="M23" i="11"/>
  <c r="M24" i="11"/>
  <c r="J11" i="11"/>
  <c r="E11" i="11"/>
  <c r="G13" i="11"/>
  <c r="H13" i="11" s="1"/>
  <c r="G14" i="11"/>
  <c r="H14" i="11" s="1"/>
  <c r="G15" i="11"/>
  <c r="H15" i="11" s="1"/>
  <c r="G16" i="11"/>
  <c r="H16" i="11" s="1"/>
  <c r="G17" i="11"/>
  <c r="H17" i="11" s="1"/>
  <c r="G18" i="11"/>
  <c r="H18" i="11" s="1"/>
  <c r="G19" i="11"/>
  <c r="H19" i="11" s="1"/>
  <c r="G20" i="11"/>
  <c r="H20" i="11" s="1"/>
  <c r="G10" i="11"/>
  <c r="H10" i="11" s="1"/>
  <c r="G9" i="11"/>
  <c r="V10" i="11"/>
  <c r="W10" i="11" s="1"/>
  <c r="V13" i="11"/>
  <c r="W13" i="11" s="1"/>
  <c r="V14" i="11"/>
  <c r="W14" i="11" s="1"/>
  <c r="V15" i="11"/>
  <c r="W15" i="11" s="1"/>
  <c r="V16" i="11"/>
  <c r="W16" i="11" s="1"/>
  <c r="V17" i="11"/>
  <c r="W17" i="11" s="1"/>
  <c r="V18" i="11"/>
  <c r="W18" i="11" s="1"/>
  <c r="V19" i="11"/>
  <c r="W19" i="11" s="1"/>
  <c r="V20" i="11"/>
  <c r="W20" i="11" s="1"/>
  <c r="U11" i="11"/>
  <c r="Q10" i="11"/>
  <c r="R10" i="11" s="1"/>
  <c r="Q13" i="11"/>
  <c r="R13" i="11" s="1"/>
  <c r="Q14" i="11"/>
  <c r="R14" i="11" s="1"/>
  <c r="Q15" i="11"/>
  <c r="R15" i="11" s="1"/>
  <c r="Q16" i="11"/>
  <c r="R16" i="11" s="1"/>
  <c r="Q17" i="11"/>
  <c r="R17" i="11" s="1"/>
  <c r="Q18" i="11"/>
  <c r="R18" i="11" s="1"/>
  <c r="Q19" i="11"/>
  <c r="R19" i="11" s="1"/>
  <c r="Q20" i="11"/>
  <c r="R20" i="11" s="1"/>
  <c r="P11" i="11"/>
  <c r="O11" i="11"/>
  <c r="L10" i="11"/>
  <c r="M10" i="11" s="1"/>
  <c r="L13" i="11"/>
  <c r="M13" i="11" s="1"/>
  <c r="L14" i="11"/>
  <c r="M14" i="11" s="1"/>
  <c r="L15" i="11"/>
  <c r="M15" i="11" s="1"/>
  <c r="L16" i="11"/>
  <c r="M16" i="11" s="1"/>
  <c r="L17" i="11"/>
  <c r="M17" i="11" s="1"/>
  <c r="L18" i="11"/>
  <c r="M18" i="11" s="1"/>
  <c r="L19" i="11"/>
  <c r="M19" i="11" s="1"/>
  <c r="K11" i="11"/>
  <c r="C55" i="11"/>
  <c r="H51" i="11"/>
  <c r="F52" i="11"/>
  <c r="D52" i="11"/>
  <c r="E52" i="11"/>
  <c r="C52" i="11"/>
  <c r="C25" i="11" l="1"/>
  <c r="Q36" i="11"/>
  <c r="R36" i="11" s="1"/>
  <c r="L36" i="11"/>
  <c r="M36" i="11" s="1"/>
  <c r="U25" i="11"/>
  <c r="G36" i="11"/>
  <c r="H36" i="11" s="1"/>
  <c r="C49" i="11"/>
  <c r="L11" i="11"/>
  <c r="Q11" i="11"/>
  <c r="V36" i="11"/>
  <c r="W36" i="11" s="1"/>
  <c r="C4" i="11" l="1"/>
  <c r="G22" i="11"/>
  <c r="H22" i="11" s="1"/>
  <c r="G23" i="11"/>
  <c r="H23" i="11" s="1"/>
  <c r="G24" i="11"/>
  <c r="H24" i="11" s="1"/>
  <c r="F11" i="11"/>
  <c r="G11" i="11" s="1"/>
  <c r="D11" i="11"/>
  <c r="C11" i="11"/>
  <c r="C3" i="11" l="1"/>
  <c r="C47" i="11" s="1"/>
  <c r="D3" i="11"/>
  <c r="V30" i="11"/>
  <c r="W30" i="11" s="1"/>
  <c r="Q30" i="11"/>
  <c r="R30" i="11" s="1"/>
  <c r="L30" i="11"/>
  <c r="M30" i="11" s="1"/>
  <c r="G30" i="11"/>
  <c r="H30" i="11" s="1"/>
  <c r="V29" i="11"/>
  <c r="W29" i="11" s="1"/>
  <c r="Q29" i="11"/>
  <c r="R29" i="11" s="1"/>
  <c r="L29" i="11"/>
  <c r="M29" i="11" s="1"/>
  <c r="G29" i="11"/>
  <c r="H29" i="11" s="1"/>
  <c r="V28" i="11"/>
  <c r="W28" i="11" s="1"/>
  <c r="Q28" i="11"/>
  <c r="R28" i="11" s="1"/>
  <c r="L28" i="11"/>
  <c r="M28" i="11" s="1"/>
  <c r="G28" i="11"/>
  <c r="H28" i="11" s="1"/>
  <c r="V27" i="11"/>
  <c r="W27" i="11" s="1"/>
  <c r="Q27" i="11"/>
  <c r="R27" i="11" s="1"/>
  <c r="L27" i="11"/>
  <c r="M27" i="11" s="1"/>
  <c r="G27" i="11"/>
  <c r="H27" i="11" s="1"/>
  <c r="F26" i="11"/>
  <c r="F25" i="11" s="1"/>
  <c r="L20" i="11"/>
  <c r="M20" i="11" s="1"/>
  <c r="V12" i="11"/>
  <c r="W12" i="11" s="1"/>
  <c r="Q12" i="11"/>
  <c r="R12" i="11" s="1"/>
  <c r="L12" i="11"/>
  <c r="G12" i="11"/>
  <c r="V9" i="11"/>
  <c r="W9" i="11" s="1"/>
  <c r="Q9" i="11"/>
  <c r="R9" i="11" s="1"/>
  <c r="L9" i="11"/>
  <c r="M9" i="11" s="1"/>
  <c r="H9" i="11"/>
  <c r="V8" i="11"/>
  <c r="W8" i="11" s="1"/>
  <c r="Q8" i="11"/>
  <c r="R8" i="11" s="1"/>
  <c r="L8" i="11"/>
  <c r="M8" i="11" s="1"/>
  <c r="G8" i="11"/>
  <c r="H8" i="11" s="1"/>
  <c r="V7" i="11"/>
  <c r="W7" i="11" s="1"/>
  <c r="Q7" i="11"/>
  <c r="R7" i="11" s="1"/>
  <c r="L7" i="11"/>
  <c r="M7" i="11" s="1"/>
  <c r="G7" i="11"/>
  <c r="H7" i="11" s="1"/>
  <c r="V6" i="11"/>
  <c r="W6" i="11" s="1"/>
  <c r="Q6" i="11"/>
  <c r="R6" i="11" s="1"/>
  <c r="L6" i="11"/>
  <c r="M6" i="11" s="1"/>
  <c r="G6" i="11"/>
  <c r="H6" i="11" s="1"/>
  <c r="V5" i="11"/>
  <c r="W5" i="11" s="1"/>
  <c r="Q5" i="11"/>
  <c r="R5" i="11" s="1"/>
  <c r="L5" i="11"/>
  <c r="M5" i="11" s="1"/>
  <c r="G5" i="11"/>
  <c r="H5" i="11" s="1"/>
  <c r="U4" i="11"/>
  <c r="F3" i="11"/>
  <c r="E3" i="11"/>
  <c r="F47" i="11" l="1"/>
  <c r="Q4" i="11"/>
  <c r="R4" i="11" s="1"/>
  <c r="G3" i="11"/>
  <c r="J3" i="11"/>
  <c r="Q21" i="11"/>
  <c r="R21" i="11" s="1"/>
  <c r="M12" i="11"/>
  <c r="H12" i="11"/>
  <c r="V21" i="11"/>
  <c r="W21" i="11" s="1"/>
  <c r="G26" i="11"/>
  <c r="H26" i="11" s="1"/>
  <c r="M21" i="11"/>
  <c r="Q26" i="11"/>
  <c r="R26" i="11" s="1"/>
  <c r="O3" i="11"/>
  <c r="V26" i="11"/>
  <c r="W26" i="11" s="1"/>
  <c r="H21" i="11"/>
  <c r="T3" i="11"/>
  <c r="G4" i="11"/>
  <c r="L26" i="11"/>
  <c r="M26" i="11" s="1"/>
  <c r="M11" i="11"/>
  <c r="V4" i="11"/>
  <c r="W4" i="11" s="1"/>
  <c r="L4" i="11"/>
  <c r="M4" i="11" s="1"/>
  <c r="V11" i="11"/>
  <c r="W11" i="11" s="1"/>
  <c r="K3" i="11"/>
  <c r="H11" i="11"/>
  <c r="R11" i="11"/>
  <c r="V97" i="2"/>
  <c r="W97" i="2" s="1"/>
  <c r="C68" i="2"/>
  <c r="K63" i="2"/>
  <c r="L63" i="2"/>
  <c r="M63" i="2"/>
  <c r="N63" i="2"/>
  <c r="O63" i="2"/>
  <c r="P63" i="2"/>
  <c r="S63" i="2"/>
  <c r="T63" i="2"/>
  <c r="K60" i="2"/>
  <c r="L60" i="2"/>
  <c r="N60" i="2"/>
  <c r="O60" i="2"/>
  <c r="P60" i="2"/>
  <c r="S60" i="2"/>
  <c r="T60" i="2"/>
  <c r="D60" i="2"/>
  <c r="E60" i="2"/>
  <c r="F60" i="2"/>
  <c r="G60" i="2"/>
  <c r="H60" i="2"/>
  <c r="I60" i="2"/>
  <c r="J60" i="2"/>
  <c r="D63" i="2"/>
  <c r="E63" i="2"/>
  <c r="F63" i="2"/>
  <c r="G63" i="2"/>
  <c r="H63" i="2"/>
  <c r="I63" i="2"/>
  <c r="J63" i="2"/>
  <c r="C63" i="2"/>
  <c r="C60" i="2"/>
  <c r="C35" i="2"/>
  <c r="C22" i="2"/>
  <c r="L143" i="2"/>
  <c r="D22" i="2"/>
  <c r="O59" i="2" l="1"/>
  <c r="J59" i="2"/>
  <c r="C59" i="2"/>
  <c r="H4" i="11"/>
  <c r="L3" i="11"/>
  <c r="M3" i="11" s="1"/>
  <c r="H3" i="11"/>
  <c r="U3" i="11"/>
  <c r="V3" i="11" s="1"/>
  <c r="W3" i="11" s="1"/>
  <c r="P3" i="11"/>
  <c r="T96" i="2"/>
  <c r="P96" i="2"/>
  <c r="O96" i="2"/>
  <c r="Q97" i="2"/>
  <c r="R97" i="2" s="1"/>
  <c r="K96" i="2"/>
  <c r="J96" i="2"/>
  <c r="L97" i="2"/>
  <c r="M97" i="2" s="1"/>
  <c r="D96" i="2"/>
  <c r="E96" i="2"/>
  <c r="F96" i="2"/>
  <c r="G97" i="2"/>
  <c r="H97" i="2" s="1"/>
  <c r="C96" i="2"/>
  <c r="Q3" i="11" l="1"/>
  <c r="R3" i="11" s="1"/>
  <c r="P47" i="11"/>
  <c r="L96" i="2"/>
  <c r="M96" i="2" s="1"/>
  <c r="Q96" i="2"/>
  <c r="R96" i="2" s="1"/>
  <c r="C5" i="12"/>
  <c r="C15" i="12" s="1"/>
  <c r="C17" i="12" s="1"/>
  <c r="C20" i="12" s="1"/>
  <c r="O32" i="5" l="1"/>
  <c r="Q32" i="5" s="1"/>
  <c r="R32" i="5" s="1"/>
  <c r="J32" i="5"/>
  <c r="L32" i="5" s="1"/>
  <c r="M32" i="5" s="1"/>
  <c r="V54" i="5"/>
  <c r="W54" i="5" s="1"/>
  <c r="V53" i="5"/>
  <c r="W53" i="5" s="1"/>
  <c r="V52" i="5"/>
  <c r="W52" i="5" s="1"/>
  <c r="V50" i="5"/>
  <c r="W50" i="5" s="1"/>
  <c r="V49" i="5"/>
  <c r="W49" i="5" s="1"/>
  <c r="V48" i="5"/>
  <c r="W48" i="5" s="1"/>
  <c r="V46" i="5"/>
  <c r="W46" i="5" s="1"/>
  <c r="V45" i="5"/>
  <c r="W45" i="5" s="1"/>
  <c r="V43" i="5"/>
  <c r="W43" i="5" s="1"/>
  <c r="V42" i="5"/>
  <c r="W42" i="5" s="1"/>
  <c r="V41" i="5"/>
  <c r="W41" i="5" s="1"/>
  <c r="U40" i="5"/>
  <c r="V40" i="5" s="1"/>
  <c r="W40" i="5" s="1"/>
  <c r="T40" i="5"/>
  <c r="V39" i="5"/>
  <c r="W39" i="5" s="1"/>
  <c r="V38" i="5"/>
  <c r="W38" i="5" s="1"/>
  <c r="V37" i="5"/>
  <c r="W37" i="5" s="1"/>
  <c r="U36" i="5"/>
  <c r="U44" i="5" s="1"/>
  <c r="T36" i="5"/>
  <c r="T44" i="5" s="1"/>
  <c r="W35" i="5"/>
  <c r="V33" i="5"/>
  <c r="W33" i="5" s="1"/>
  <c r="V31" i="5"/>
  <c r="W31" i="5" s="1"/>
  <c r="V30" i="5"/>
  <c r="W30" i="5" s="1"/>
  <c r="U29" i="5"/>
  <c r="U27" i="5" s="1"/>
  <c r="W28" i="5"/>
  <c r="V28" i="5"/>
  <c r="W26" i="5"/>
  <c r="V26" i="5"/>
  <c r="W25" i="5"/>
  <c r="V25" i="5"/>
  <c r="V24" i="5"/>
  <c r="W24" i="5" s="1"/>
  <c r="V23" i="5"/>
  <c r="W23" i="5" s="1"/>
  <c r="W22" i="5"/>
  <c r="V22" i="5"/>
  <c r="U21" i="5"/>
  <c r="V21" i="5" s="1"/>
  <c r="W21" i="5" s="1"/>
  <c r="T21" i="5"/>
  <c r="W20" i="5"/>
  <c r="V18" i="5"/>
  <c r="W18" i="5" s="1"/>
  <c r="V17" i="5"/>
  <c r="W17" i="5" s="1"/>
  <c r="U16" i="5"/>
  <c r="T16" i="5"/>
  <c r="V16" i="5" s="1"/>
  <c r="W16" i="5" s="1"/>
  <c r="V15" i="5"/>
  <c r="W15" i="5" s="1"/>
  <c r="V14" i="5"/>
  <c r="W14" i="5" s="1"/>
  <c r="V13" i="5"/>
  <c r="W13" i="5" s="1"/>
  <c r="V12" i="5"/>
  <c r="W12" i="5" s="1"/>
  <c r="V11" i="5"/>
  <c r="W11" i="5" s="1"/>
  <c r="V10" i="5"/>
  <c r="W10" i="5" s="1"/>
  <c r="V9" i="5"/>
  <c r="W9" i="5" s="1"/>
  <c r="V8" i="5"/>
  <c r="W8" i="5" s="1"/>
  <c r="V7" i="5"/>
  <c r="W7" i="5" s="1"/>
  <c r="U6" i="5"/>
  <c r="U5" i="5" s="1"/>
  <c r="T6" i="5"/>
  <c r="T5" i="5" s="1"/>
  <c r="U3" i="5"/>
  <c r="Q54" i="5"/>
  <c r="R54" i="5" s="1"/>
  <c r="Q53" i="5"/>
  <c r="R53" i="5" s="1"/>
  <c r="Q52" i="5"/>
  <c r="R52" i="5" s="1"/>
  <c r="Q50" i="5"/>
  <c r="R50" i="5" s="1"/>
  <c r="Q49" i="5"/>
  <c r="R49" i="5" s="1"/>
  <c r="Q48" i="5"/>
  <c r="R48" i="5" s="1"/>
  <c r="Q46" i="5"/>
  <c r="R46" i="5" s="1"/>
  <c r="Q45" i="5"/>
  <c r="R45" i="5" s="1"/>
  <c r="Q43" i="5"/>
  <c r="R43" i="5" s="1"/>
  <c r="Q42" i="5"/>
  <c r="R42" i="5" s="1"/>
  <c r="Q41" i="5"/>
  <c r="R41" i="5" s="1"/>
  <c r="P40" i="5"/>
  <c r="Q40" i="5" s="1"/>
  <c r="R40" i="5" s="1"/>
  <c r="O40" i="5"/>
  <c r="Q39" i="5"/>
  <c r="R39" i="5" s="1"/>
  <c r="Q38" i="5"/>
  <c r="R38" i="5" s="1"/>
  <c r="Q37" i="5"/>
  <c r="R37" i="5" s="1"/>
  <c r="P36" i="5"/>
  <c r="O36" i="5"/>
  <c r="O44" i="5" s="1"/>
  <c r="R35" i="5"/>
  <c r="Q33" i="5"/>
  <c r="R33" i="5" s="1"/>
  <c r="Q31" i="5"/>
  <c r="R31" i="5" s="1"/>
  <c r="Q30" i="5"/>
  <c r="R30" i="5" s="1"/>
  <c r="P29" i="5"/>
  <c r="R28" i="5"/>
  <c r="Q28" i="5"/>
  <c r="R26" i="5"/>
  <c r="Q26" i="5"/>
  <c r="R25" i="5"/>
  <c r="Q25" i="5"/>
  <c r="Q24" i="5"/>
  <c r="R24" i="5" s="1"/>
  <c r="Q23" i="5"/>
  <c r="R23" i="5" s="1"/>
  <c r="R22" i="5"/>
  <c r="Q22" i="5"/>
  <c r="P21" i="5"/>
  <c r="Q21" i="5" s="1"/>
  <c r="R21" i="5" s="1"/>
  <c r="O21" i="5"/>
  <c r="R20" i="5"/>
  <c r="Q18" i="5"/>
  <c r="R18" i="5" s="1"/>
  <c r="Q17" i="5"/>
  <c r="R17" i="5" s="1"/>
  <c r="P16" i="5"/>
  <c r="O16" i="5"/>
  <c r="Q15" i="5"/>
  <c r="R15" i="5" s="1"/>
  <c r="Q14" i="5"/>
  <c r="R14" i="5" s="1"/>
  <c r="Q13" i="5"/>
  <c r="R13" i="5" s="1"/>
  <c r="Q12" i="5"/>
  <c r="R12" i="5" s="1"/>
  <c r="Q11" i="5"/>
  <c r="R11" i="5" s="1"/>
  <c r="Q10" i="5"/>
  <c r="R10" i="5" s="1"/>
  <c r="Q9" i="5"/>
  <c r="R9" i="5" s="1"/>
  <c r="Q8" i="5"/>
  <c r="R8" i="5" s="1"/>
  <c r="Q7" i="5"/>
  <c r="R7" i="5" s="1"/>
  <c r="P6" i="5"/>
  <c r="P5" i="5" s="1"/>
  <c r="O6" i="5"/>
  <c r="O5" i="5" s="1"/>
  <c r="M54" i="5"/>
  <c r="L54" i="5"/>
  <c r="L53" i="5"/>
  <c r="M53" i="5" s="1"/>
  <c r="L52" i="5"/>
  <c r="M52" i="5" s="1"/>
  <c r="M50" i="5"/>
  <c r="L50" i="5"/>
  <c r="M49" i="5"/>
  <c r="L49" i="5"/>
  <c r="L48" i="5"/>
  <c r="M48" i="5" s="1"/>
  <c r="L46" i="5"/>
  <c r="M46" i="5" s="1"/>
  <c r="L45" i="5"/>
  <c r="M45" i="5" s="1"/>
  <c r="M43" i="5"/>
  <c r="L43" i="5"/>
  <c r="L42" i="5"/>
  <c r="M42" i="5" s="1"/>
  <c r="L41" i="5"/>
  <c r="M41" i="5" s="1"/>
  <c r="K40" i="5"/>
  <c r="J40" i="5"/>
  <c r="L39" i="5"/>
  <c r="M39" i="5" s="1"/>
  <c r="L38" i="5"/>
  <c r="M38" i="5" s="1"/>
  <c r="M37" i="5"/>
  <c r="L37" i="5"/>
  <c r="K36" i="5"/>
  <c r="J36" i="5"/>
  <c r="J44" i="5" s="1"/>
  <c r="M35" i="5"/>
  <c r="L33" i="5"/>
  <c r="M33" i="5" s="1"/>
  <c r="L31" i="5"/>
  <c r="M31" i="5" s="1"/>
  <c r="L30" i="5"/>
  <c r="M30" i="5" s="1"/>
  <c r="K29" i="5"/>
  <c r="K27" i="5" s="1"/>
  <c r="M28" i="5"/>
  <c r="L28" i="5"/>
  <c r="L26" i="5"/>
  <c r="M26" i="5" s="1"/>
  <c r="M25" i="5"/>
  <c r="L25" i="5"/>
  <c r="L24" i="5"/>
  <c r="M24" i="5" s="1"/>
  <c r="L23" i="5"/>
  <c r="M23" i="5" s="1"/>
  <c r="L22" i="5"/>
  <c r="M22" i="5" s="1"/>
  <c r="K21" i="5"/>
  <c r="J21" i="5"/>
  <c r="L21" i="5" s="1"/>
  <c r="M21" i="5" s="1"/>
  <c r="M20" i="5"/>
  <c r="L18" i="5"/>
  <c r="M18" i="5" s="1"/>
  <c r="L17" i="5"/>
  <c r="M17" i="5" s="1"/>
  <c r="K16" i="5"/>
  <c r="J16" i="5"/>
  <c r="M15" i="5"/>
  <c r="L15" i="5"/>
  <c r="L14" i="5"/>
  <c r="M14" i="5" s="1"/>
  <c r="L13" i="5"/>
  <c r="M13" i="5" s="1"/>
  <c r="L12" i="5"/>
  <c r="M12" i="5" s="1"/>
  <c r="M11" i="5"/>
  <c r="L11" i="5"/>
  <c r="M10" i="5"/>
  <c r="L10" i="5"/>
  <c r="L9" i="5"/>
  <c r="M9" i="5" s="1"/>
  <c r="L8" i="5"/>
  <c r="M8" i="5" s="1"/>
  <c r="L7" i="5"/>
  <c r="M7" i="5" s="1"/>
  <c r="J6" i="5"/>
  <c r="J5" i="5" s="1"/>
  <c r="K5" i="5"/>
  <c r="V79" i="11"/>
  <c r="W79" i="11" s="1"/>
  <c r="V78" i="11"/>
  <c r="W78" i="11" s="1"/>
  <c r="V77" i="11"/>
  <c r="W77" i="11" s="1"/>
  <c r="V76" i="11"/>
  <c r="W76" i="11" s="1"/>
  <c r="V75" i="11"/>
  <c r="W75" i="11" s="1"/>
  <c r="V74" i="11"/>
  <c r="W74" i="11" s="1"/>
  <c r="V73" i="11"/>
  <c r="W73" i="11" s="1"/>
  <c r="V72" i="11"/>
  <c r="W72" i="11" s="1"/>
  <c r="V71" i="11"/>
  <c r="W71" i="11" s="1"/>
  <c r="U70" i="11"/>
  <c r="U84" i="11" s="1"/>
  <c r="T70" i="11"/>
  <c r="T84" i="11" s="1"/>
  <c r="V62" i="11"/>
  <c r="W62" i="11" s="1"/>
  <c r="V61" i="11"/>
  <c r="W61" i="11" s="1"/>
  <c r="V56" i="11"/>
  <c r="W56" i="11" s="1"/>
  <c r="U55" i="11"/>
  <c r="U49" i="11" s="1"/>
  <c r="V54" i="11"/>
  <c r="W54" i="11" s="1"/>
  <c r="V53" i="11"/>
  <c r="W53" i="11" s="1"/>
  <c r="V50" i="11"/>
  <c r="W50" i="11" s="1"/>
  <c r="Q79" i="11"/>
  <c r="R79" i="11" s="1"/>
  <c r="Q78" i="11"/>
  <c r="R78" i="11" s="1"/>
  <c r="Q77" i="11"/>
  <c r="R77" i="11" s="1"/>
  <c r="Q76" i="11"/>
  <c r="R76" i="11" s="1"/>
  <c r="Q75" i="11"/>
  <c r="R75" i="11" s="1"/>
  <c r="Q74" i="11"/>
  <c r="R74" i="11" s="1"/>
  <c r="Q73" i="11"/>
  <c r="R73" i="11" s="1"/>
  <c r="Q72" i="11"/>
  <c r="R72" i="11" s="1"/>
  <c r="Q71" i="11"/>
  <c r="R71" i="11" s="1"/>
  <c r="P70" i="11"/>
  <c r="P84" i="11" s="1"/>
  <c r="O70" i="11"/>
  <c r="O84" i="11" s="1"/>
  <c r="Q62" i="11"/>
  <c r="R62" i="11" s="1"/>
  <c r="Q61" i="11"/>
  <c r="R61" i="11" s="1"/>
  <c r="P60" i="11"/>
  <c r="O60" i="11"/>
  <c r="O83" i="11" s="1"/>
  <c r="Q56" i="11"/>
  <c r="R56" i="11" s="1"/>
  <c r="P55" i="11"/>
  <c r="P49" i="11" s="1"/>
  <c r="Q54" i="11"/>
  <c r="R54" i="11" s="1"/>
  <c r="Q53" i="11"/>
  <c r="R53" i="11" s="1"/>
  <c r="Q50" i="11"/>
  <c r="R50" i="11" s="1"/>
  <c r="L79" i="11"/>
  <c r="M79" i="11" s="1"/>
  <c r="L78" i="11"/>
  <c r="M78" i="11" s="1"/>
  <c r="L77" i="11"/>
  <c r="M77" i="11" s="1"/>
  <c r="L76" i="11"/>
  <c r="M76" i="11" s="1"/>
  <c r="L75" i="11"/>
  <c r="M75" i="11" s="1"/>
  <c r="L74" i="11"/>
  <c r="M74" i="11" s="1"/>
  <c r="L73" i="11"/>
  <c r="M73" i="11" s="1"/>
  <c r="L72" i="11"/>
  <c r="M72" i="11" s="1"/>
  <c r="L71" i="11"/>
  <c r="M71" i="11" s="1"/>
  <c r="K70" i="11"/>
  <c r="K84" i="11" s="1"/>
  <c r="J70" i="11"/>
  <c r="J84" i="11" s="1"/>
  <c r="L62" i="11"/>
  <c r="M62" i="11" s="1"/>
  <c r="L61" i="11"/>
  <c r="M61" i="11" s="1"/>
  <c r="K60" i="11"/>
  <c r="J60" i="11"/>
  <c r="L56" i="11"/>
  <c r="M56" i="11" s="1"/>
  <c r="L54" i="11"/>
  <c r="M54" i="11" s="1"/>
  <c r="L53" i="11"/>
  <c r="M53" i="11" s="1"/>
  <c r="L50" i="11"/>
  <c r="M50" i="11" s="1"/>
  <c r="V19" i="12"/>
  <c r="W19" i="12" s="1"/>
  <c r="V18" i="12"/>
  <c r="W18" i="12" s="1"/>
  <c r="V16" i="12"/>
  <c r="W16" i="12" s="1"/>
  <c r="V14" i="12"/>
  <c r="W14" i="12" s="1"/>
  <c r="V13" i="12"/>
  <c r="W13" i="12" s="1"/>
  <c r="V12" i="12"/>
  <c r="W12" i="12" s="1"/>
  <c r="V11" i="12"/>
  <c r="W11" i="12" s="1"/>
  <c r="V10" i="12"/>
  <c r="W10" i="12" s="1"/>
  <c r="V8" i="12"/>
  <c r="W8" i="12" s="1"/>
  <c r="V7" i="12"/>
  <c r="W7" i="12" s="1"/>
  <c r="V6" i="12"/>
  <c r="W6" i="12" s="1"/>
  <c r="U5" i="12"/>
  <c r="U15" i="12" s="1"/>
  <c r="U17" i="12" s="1"/>
  <c r="U20" i="12" s="1"/>
  <c r="Q19" i="12"/>
  <c r="R19" i="12" s="1"/>
  <c r="Q18" i="12"/>
  <c r="R18" i="12" s="1"/>
  <c r="Q16" i="12"/>
  <c r="R16" i="12" s="1"/>
  <c r="Q14" i="12"/>
  <c r="R14" i="12" s="1"/>
  <c r="Q13" i="12"/>
  <c r="R13" i="12" s="1"/>
  <c r="Q12" i="12"/>
  <c r="R12" i="12" s="1"/>
  <c r="Q11" i="12"/>
  <c r="R11" i="12" s="1"/>
  <c r="Q10" i="12"/>
  <c r="R10" i="12" s="1"/>
  <c r="Q7" i="12"/>
  <c r="R7" i="12" s="1"/>
  <c r="Q6" i="12"/>
  <c r="R6" i="12" s="1"/>
  <c r="L19" i="12"/>
  <c r="M19" i="12" s="1"/>
  <c r="L18" i="12"/>
  <c r="M18" i="12" s="1"/>
  <c r="L16" i="12"/>
  <c r="M16" i="12" s="1"/>
  <c r="L14" i="12"/>
  <c r="M14" i="12" s="1"/>
  <c r="L13" i="12"/>
  <c r="M13" i="12" s="1"/>
  <c r="L12" i="12"/>
  <c r="M12" i="12" s="1"/>
  <c r="L11" i="12"/>
  <c r="M11" i="12" s="1"/>
  <c r="L10" i="12"/>
  <c r="M10" i="12" s="1"/>
  <c r="L7" i="12"/>
  <c r="M7" i="12" s="1"/>
  <c r="L6" i="12"/>
  <c r="M6" i="12" s="1"/>
  <c r="V171" i="2"/>
  <c r="W171" i="2" s="1"/>
  <c r="V170" i="2"/>
  <c r="W170" i="2" s="1"/>
  <c r="V169" i="2"/>
  <c r="W169" i="2" s="1"/>
  <c r="V168" i="2"/>
  <c r="W168" i="2" s="1"/>
  <c r="V167" i="2"/>
  <c r="W167" i="2" s="1"/>
  <c r="V166" i="2"/>
  <c r="W166" i="2" s="1"/>
  <c r="V165" i="2"/>
  <c r="W165" i="2" s="1"/>
  <c r="U164" i="2"/>
  <c r="T164" i="2"/>
  <c r="V162" i="2"/>
  <c r="W162" i="2" s="1"/>
  <c r="V161" i="2"/>
  <c r="W161" i="2" s="1"/>
  <c r="V160" i="2"/>
  <c r="W160" i="2" s="1"/>
  <c r="V159" i="2"/>
  <c r="W159" i="2" s="1"/>
  <c r="V158" i="2"/>
  <c r="W158" i="2" s="1"/>
  <c r="V157" i="2"/>
  <c r="W157" i="2" s="1"/>
  <c r="V156" i="2"/>
  <c r="W156" i="2" s="1"/>
  <c r="V155" i="2"/>
  <c r="W155" i="2" s="1"/>
  <c r="U154" i="2"/>
  <c r="T154" i="2"/>
  <c r="V152" i="2"/>
  <c r="W152" i="2" s="1"/>
  <c r="V151" i="2"/>
  <c r="W151" i="2" s="1"/>
  <c r="V150" i="2"/>
  <c r="W150" i="2" s="1"/>
  <c r="V149" i="2"/>
  <c r="W149" i="2" s="1"/>
  <c r="U148" i="2"/>
  <c r="U146" i="2" s="1"/>
  <c r="T148" i="2"/>
  <c r="V147" i="2"/>
  <c r="W147" i="2" s="1"/>
  <c r="V138" i="2"/>
  <c r="W138" i="2" s="1"/>
  <c r="V137" i="2"/>
  <c r="W137" i="2" s="1"/>
  <c r="V136" i="2"/>
  <c r="W136" i="2" s="1"/>
  <c r="V135" i="2"/>
  <c r="W135" i="2" s="1"/>
  <c r="V134" i="2"/>
  <c r="W134" i="2" s="1"/>
  <c r="V133" i="2"/>
  <c r="W133" i="2" s="1"/>
  <c r="V132" i="2"/>
  <c r="W132" i="2" s="1"/>
  <c r="V131" i="2"/>
  <c r="W131" i="2" s="1"/>
  <c r="U130" i="2"/>
  <c r="U129" i="2" s="1"/>
  <c r="T130" i="2"/>
  <c r="V128" i="2"/>
  <c r="W128" i="2" s="1"/>
  <c r="V127" i="2"/>
  <c r="W127" i="2" s="1"/>
  <c r="V126" i="2"/>
  <c r="W126" i="2" s="1"/>
  <c r="V125" i="2"/>
  <c r="W125" i="2" s="1"/>
  <c r="V124" i="2"/>
  <c r="W124" i="2" s="1"/>
  <c r="V123" i="2"/>
  <c r="W123" i="2" s="1"/>
  <c r="V122" i="2"/>
  <c r="W122" i="2" s="1"/>
  <c r="V121" i="2"/>
  <c r="W121" i="2" s="1"/>
  <c r="V120" i="2"/>
  <c r="W120" i="2" s="1"/>
  <c r="U119" i="2"/>
  <c r="T119" i="2"/>
  <c r="V118" i="2"/>
  <c r="W118" i="2" s="1"/>
  <c r="V117" i="2"/>
  <c r="W117" i="2" s="1"/>
  <c r="V116" i="2"/>
  <c r="W116" i="2" s="1"/>
  <c r="V115" i="2"/>
  <c r="W115" i="2" s="1"/>
  <c r="U114" i="2"/>
  <c r="T114" i="2"/>
  <c r="V113" i="2"/>
  <c r="W113" i="2" s="1"/>
  <c r="V112" i="2"/>
  <c r="W112" i="2" s="1"/>
  <c r="V111" i="2"/>
  <c r="W111" i="2" s="1"/>
  <c r="V110" i="2"/>
  <c r="W110" i="2" s="1"/>
  <c r="U109" i="2"/>
  <c r="T109" i="2"/>
  <c r="V108" i="2"/>
  <c r="W108" i="2" s="1"/>
  <c r="V107" i="2"/>
  <c r="W107" i="2" s="1"/>
  <c r="V106" i="2"/>
  <c r="W106" i="2" s="1"/>
  <c r="V105" i="2"/>
  <c r="W105" i="2" s="1"/>
  <c r="U104" i="2"/>
  <c r="T104" i="2"/>
  <c r="V102" i="2"/>
  <c r="W102" i="2" s="1"/>
  <c r="V101" i="2"/>
  <c r="W101" i="2" s="1"/>
  <c r="V100" i="2"/>
  <c r="W100" i="2" s="1"/>
  <c r="V99" i="2"/>
  <c r="W99" i="2" s="1"/>
  <c r="V98" i="2"/>
  <c r="W98" i="2" s="1"/>
  <c r="U96" i="2"/>
  <c r="V95" i="2"/>
  <c r="W95" i="2" s="1"/>
  <c r="V94" i="2"/>
  <c r="W94" i="2" s="1"/>
  <c r="V93" i="2"/>
  <c r="W93" i="2" s="1"/>
  <c r="V92" i="2"/>
  <c r="W92" i="2" s="1"/>
  <c r="V91" i="2"/>
  <c r="W91" i="2" s="1"/>
  <c r="U90" i="2"/>
  <c r="T90" i="2"/>
  <c r="V89" i="2"/>
  <c r="W89" i="2" s="1"/>
  <c r="V88" i="2"/>
  <c r="W88" i="2" s="1"/>
  <c r="V87" i="2"/>
  <c r="W87" i="2" s="1"/>
  <c r="V86" i="2"/>
  <c r="W86" i="2" s="1"/>
  <c r="V85" i="2"/>
  <c r="W85" i="2" s="1"/>
  <c r="V84" i="2"/>
  <c r="W84" i="2" s="1"/>
  <c r="V83" i="2"/>
  <c r="W83" i="2" s="1"/>
  <c r="U82" i="2"/>
  <c r="T82" i="2"/>
  <c r="V81" i="2"/>
  <c r="W81" i="2" s="1"/>
  <c r="V80" i="2"/>
  <c r="W80" i="2" s="1"/>
  <c r="V79" i="2"/>
  <c r="W79" i="2" s="1"/>
  <c r="V78" i="2"/>
  <c r="W78" i="2" s="1"/>
  <c r="V77" i="2"/>
  <c r="W77" i="2" s="1"/>
  <c r="V76" i="2"/>
  <c r="W76" i="2" s="1"/>
  <c r="V75" i="2"/>
  <c r="W75" i="2" s="1"/>
  <c r="U74" i="2"/>
  <c r="T74" i="2"/>
  <c r="V73" i="2"/>
  <c r="W73" i="2" s="1"/>
  <c r="V72" i="2"/>
  <c r="W72" i="2" s="1"/>
  <c r="V71" i="2"/>
  <c r="W71" i="2" s="1"/>
  <c r="V70" i="2"/>
  <c r="W70" i="2" s="1"/>
  <c r="V69" i="2"/>
  <c r="W69" i="2" s="1"/>
  <c r="U68" i="2"/>
  <c r="T68" i="2"/>
  <c r="V67" i="2"/>
  <c r="W67" i="2" s="1"/>
  <c r="V57" i="2"/>
  <c r="W57" i="2" s="1"/>
  <c r="V56" i="2"/>
  <c r="W56" i="2" s="1"/>
  <c r="V55" i="2"/>
  <c r="W55" i="2" s="1"/>
  <c r="V54" i="2"/>
  <c r="W54" i="2" s="1"/>
  <c r="V53" i="2"/>
  <c r="W53" i="2" s="1"/>
  <c r="U52" i="2"/>
  <c r="U50" i="2" s="1"/>
  <c r="T52" i="2"/>
  <c r="T50" i="2" s="1"/>
  <c r="V51" i="2"/>
  <c r="W51" i="2" s="1"/>
  <c r="V49" i="2"/>
  <c r="W49" i="2" s="1"/>
  <c r="V48" i="2"/>
  <c r="W48" i="2" s="1"/>
  <c r="V47" i="2"/>
  <c r="W47" i="2" s="1"/>
  <c r="V46" i="2"/>
  <c r="W46" i="2" s="1"/>
  <c r="V45" i="2"/>
  <c r="W45" i="2" s="1"/>
  <c r="V44" i="2"/>
  <c r="W44" i="2" s="1"/>
  <c r="V43" i="2"/>
  <c r="W43" i="2" s="1"/>
  <c r="V42" i="2"/>
  <c r="W42" i="2" s="1"/>
  <c r="V41" i="2"/>
  <c r="W41" i="2" s="1"/>
  <c r="V40" i="2"/>
  <c r="W40" i="2" s="1"/>
  <c r="U39" i="2"/>
  <c r="T39" i="2"/>
  <c r="V38" i="2"/>
  <c r="W38" i="2" s="1"/>
  <c r="V36" i="2"/>
  <c r="W36" i="2" s="1"/>
  <c r="U35" i="2"/>
  <c r="T35" i="2"/>
  <c r="V31" i="2"/>
  <c r="W31" i="2" s="1"/>
  <c r="V30" i="2"/>
  <c r="W30" i="2" s="1"/>
  <c r="V29" i="2"/>
  <c r="W29" i="2" s="1"/>
  <c r="V28" i="2"/>
  <c r="W28" i="2" s="1"/>
  <c r="V27" i="2"/>
  <c r="W27" i="2" s="1"/>
  <c r="V26" i="2"/>
  <c r="W26" i="2" s="1"/>
  <c r="V24" i="2"/>
  <c r="W24" i="2" s="1"/>
  <c r="V23" i="2"/>
  <c r="W23" i="2" s="1"/>
  <c r="U22" i="2"/>
  <c r="T22" i="2"/>
  <c r="V21" i="2"/>
  <c r="W21" i="2" s="1"/>
  <c r="V20" i="2"/>
  <c r="W20" i="2" s="1"/>
  <c r="U19" i="2"/>
  <c r="T19" i="2"/>
  <c r="V18" i="2"/>
  <c r="W18" i="2" s="1"/>
  <c r="V17" i="2"/>
  <c r="W17" i="2" s="1"/>
  <c r="U16" i="2"/>
  <c r="T16" i="2"/>
  <c r="V15" i="2"/>
  <c r="W15" i="2" s="1"/>
  <c r="V14" i="2"/>
  <c r="W14" i="2" s="1"/>
  <c r="U13" i="2"/>
  <c r="T13" i="2"/>
  <c r="V12" i="2"/>
  <c r="W12" i="2" s="1"/>
  <c r="V11" i="2"/>
  <c r="W11" i="2" s="1"/>
  <c r="U10" i="2"/>
  <c r="T10" i="2"/>
  <c r="V9" i="2"/>
  <c r="W9" i="2" s="1"/>
  <c r="V8" i="2"/>
  <c r="W8" i="2" s="1"/>
  <c r="V7" i="2"/>
  <c r="W7" i="2" s="1"/>
  <c r="V6" i="2"/>
  <c r="W6" i="2" s="1"/>
  <c r="U5" i="2"/>
  <c r="T5" i="2"/>
  <c r="Q171" i="2"/>
  <c r="Q170" i="2"/>
  <c r="R170" i="2" s="1"/>
  <c r="Q169" i="2"/>
  <c r="R169" i="2" s="1"/>
  <c r="Q168" i="2"/>
  <c r="R168" i="2" s="1"/>
  <c r="Q167" i="2"/>
  <c r="R167" i="2" s="1"/>
  <c r="Q166" i="2"/>
  <c r="R166" i="2" s="1"/>
  <c r="Q165" i="2"/>
  <c r="R165" i="2" s="1"/>
  <c r="P164" i="2"/>
  <c r="O164" i="2"/>
  <c r="Q162" i="2"/>
  <c r="R162" i="2" s="1"/>
  <c r="Q161" i="2"/>
  <c r="R161" i="2" s="1"/>
  <c r="Q160" i="2"/>
  <c r="R160" i="2" s="1"/>
  <c r="Q159" i="2"/>
  <c r="R159" i="2" s="1"/>
  <c r="Q158" i="2"/>
  <c r="R158" i="2" s="1"/>
  <c r="Q157" i="2"/>
  <c r="R157" i="2" s="1"/>
  <c r="Q156" i="2"/>
  <c r="R156" i="2" s="1"/>
  <c r="Q155" i="2"/>
  <c r="R155" i="2" s="1"/>
  <c r="P154" i="2"/>
  <c r="O154" i="2"/>
  <c r="Q152" i="2"/>
  <c r="R152" i="2" s="1"/>
  <c r="Q151" i="2"/>
  <c r="R151" i="2" s="1"/>
  <c r="Q150" i="2"/>
  <c r="R150" i="2" s="1"/>
  <c r="Q149" i="2"/>
  <c r="R149" i="2" s="1"/>
  <c r="P148" i="2"/>
  <c r="O148" i="2"/>
  <c r="O146" i="2" s="1"/>
  <c r="Q147" i="2"/>
  <c r="R147" i="2" s="1"/>
  <c r="Q138" i="2"/>
  <c r="R138" i="2" s="1"/>
  <c r="Q137" i="2"/>
  <c r="R137" i="2" s="1"/>
  <c r="Q136" i="2"/>
  <c r="R136" i="2" s="1"/>
  <c r="Q135" i="2"/>
  <c r="R135" i="2" s="1"/>
  <c r="Q134" i="2"/>
  <c r="R134" i="2" s="1"/>
  <c r="Q133" i="2"/>
  <c r="R133" i="2" s="1"/>
  <c r="Q132" i="2"/>
  <c r="R132" i="2" s="1"/>
  <c r="Q131" i="2"/>
  <c r="R131" i="2" s="1"/>
  <c r="P130" i="2"/>
  <c r="O130" i="2"/>
  <c r="Q128" i="2"/>
  <c r="R128" i="2" s="1"/>
  <c r="Q127" i="2"/>
  <c r="R127" i="2" s="1"/>
  <c r="Q126" i="2"/>
  <c r="R126" i="2" s="1"/>
  <c r="Q125" i="2"/>
  <c r="R125" i="2" s="1"/>
  <c r="Q124" i="2"/>
  <c r="R124" i="2" s="1"/>
  <c r="Q123" i="2"/>
  <c r="R123" i="2" s="1"/>
  <c r="Q122" i="2"/>
  <c r="R122" i="2" s="1"/>
  <c r="Q121" i="2"/>
  <c r="R121" i="2" s="1"/>
  <c r="Q120" i="2"/>
  <c r="R120" i="2" s="1"/>
  <c r="P119" i="2"/>
  <c r="O119" i="2"/>
  <c r="Q118" i="2"/>
  <c r="R118" i="2" s="1"/>
  <c r="Q117" i="2"/>
  <c r="R117" i="2" s="1"/>
  <c r="Q116" i="2"/>
  <c r="R116" i="2" s="1"/>
  <c r="Q115" i="2"/>
  <c r="R115" i="2" s="1"/>
  <c r="P114" i="2"/>
  <c r="O114" i="2"/>
  <c r="Q113" i="2"/>
  <c r="R113" i="2" s="1"/>
  <c r="Q112" i="2"/>
  <c r="R112" i="2" s="1"/>
  <c r="Q111" i="2"/>
  <c r="R111" i="2" s="1"/>
  <c r="Q110" i="2"/>
  <c r="R110" i="2" s="1"/>
  <c r="P109" i="2"/>
  <c r="O109" i="2"/>
  <c r="Q108" i="2"/>
  <c r="R108" i="2" s="1"/>
  <c r="Q107" i="2"/>
  <c r="R107" i="2" s="1"/>
  <c r="Q106" i="2"/>
  <c r="R106" i="2" s="1"/>
  <c r="Q105" i="2"/>
  <c r="R105" i="2" s="1"/>
  <c r="P104" i="2"/>
  <c r="O104" i="2"/>
  <c r="Q102" i="2"/>
  <c r="R102" i="2" s="1"/>
  <c r="Q101" i="2"/>
  <c r="R101" i="2" s="1"/>
  <c r="Q100" i="2"/>
  <c r="R100" i="2" s="1"/>
  <c r="Q99" i="2"/>
  <c r="R99" i="2" s="1"/>
  <c r="Q98" i="2"/>
  <c r="R98" i="2" s="1"/>
  <c r="Q95" i="2"/>
  <c r="R95" i="2" s="1"/>
  <c r="Q94" i="2"/>
  <c r="R94" i="2" s="1"/>
  <c r="Q93" i="2"/>
  <c r="R93" i="2" s="1"/>
  <c r="Q92" i="2"/>
  <c r="R92" i="2" s="1"/>
  <c r="Q91" i="2"/>
  <c r="R91" i="2" s="1"/>
  <c r="P90" i="2"/>
  <c r="Q89" i="2"/>
  <c r="R89" i="2" s="1"/>
  <c r="Q88" i="2"/>
  <c r="R88" i="2" s="1"/>
  <c r="Q87" i="2"/>
  <c r="R87" i="2" s="1"/>
  <c r="Q86" i="2"/>
  <c r="R86" i="2" s="1"/>
  <c r="Q85" i="2"/>
  <c r="R85" i="2" s="1"/>
  <c r="Q84" i="2"/>
  <c r="R84" i="2" s="1"/>
  <c r="Q83" i="2"/>
  <c r="R83" i="2" s="1"/>
  <c r="P82" i="2"/>
  <c r="O82" i="2"/>
  <c r="Q81" i="2"/>
  <c r="R81" i="2" s="1"/>
  <c r="Q80" i="2"/>
  <c r="R80" i="2" s="1"/>
  <c r="Q79" i="2"/>
  <c r="R79" i="2" s="1"/>
  <c r="Q78" i="2"/>
  <c r="R78" i="2" s="1"/>
  <c r="Q77" i="2"/>
  <c r="R77" i="2" s="1"/>
  <c r="Q76" i="2"/>
  <c r="R76" i="2" s="1"/>
  <c r="Q75" i="2"/>
  <c r="R75" i="2" s="1"/>
  <c r="P74" i="2"/>
  <c r="O74" i="2"/>
  <c r="Q73" i="2"/>
  <c r="R73" i="2" s="1"/>
  <c r="Q72" i="2"/>
  <c r="R72" i="2" s="1"/>
  <c r="Q71" i="2"/>
  <c r="R71" i="2" s="1"/>
  <c r="Q70" i="2"/>
  <c r="R70" i="2" s="1"/>
  <c r="Q69" i="2"/>
  <c r="R69" i="2" s="1"/>
  <c r="P68" i="2"/>
  <c r="O68" i="2"/>
  <c r="Q67" i="2"/>
  <c r="R67" i="2" s="1"/>
  <c r="Q57" i="2"/>
  <c r="R57" i="2" s="1"/>
  <c r="Q56" i="2"/>
  <c r="R56" i="2" s="1"/>
  <c r="Q55" i="2"/>
  <c r="R55" i="2" s="1"/>
  <c r="Q54" i="2"/>
  <c r="R54" i="2" s="1"/>
  <c r="Q53" i="2"/>
  <c r="R53" i="2" s="1"/>
  <c r="P52" i="2"/>
  <c r="P50" i="2" s="1"/>
  <c r="O52" i="2"/>
  <c r="O50" i="2" s="1"/>
  <c r="Q51" i="2"/>
  <c r="R51" i="2" s="1"/>
  <c r="Q49" i="2"/>
  <c r="R49" i="2" s="1"/>
  <c r="Q48" i="2"/>
  <c r="R48" i="2" s="1"/>
  <c r="Q47" i="2"/>
  <c r="R47" i="2" s="1"/>
  <c r="Q46" i="2"/>
  <c r="R46" i="2" s="1"/>
  <c r="Q45" i="2"/>
  <c r="R45" i="2" s="1"/>
  <c r="Q44" i="2"/>
  <c r="R44" i="2" s="1"/>
  <c r="Q43" i="2"/>
  <c r="R43" i="2" s="1"/>
  <c r="Q42" i="2"/>
  <c r="R42" i="2" s="1"/>
  <c r="Q41" i="2"/>
  <c r="R41" i="2" s="1"/>
  <c r="Q40" i="2"/>
  <c r="R40" i="2" s="1"/>
  <c r="P39" i="2"/>
  <c r="O39" i="2"/>
  <c r="Q38" i="2"/>
  <c r="R38" i="2" s="1"/>
  <c r="Q36" i="2"/>
  <c r="R36" i="2" s="1"/>
  <c r="P35" i="2"/>
  <c r="O35" i="2"/>
  <c r="Q31" i="2"/>
  <c r="R31" i="2" s="1"/>
  <c r="Q30" i="2"/>
  <c r="R30" i="2" s="1"/>
  <c r="Q29" i="2"/>
  <c r="R29" i="2" s="1"/>
  <c r="Q28" i="2"/>
  <c r="R28" i="2" s="1"/>
  <c r="Q27" i="2"/>
  <c r="R27" i="2" s="1"/>
  <c r="Q26" i="2"/>
  <c r="Q24" i="2"/>
  <c r="R24" i="2" s="1"/>
  <c r="Q23" i="2"/>
  <c r="R23" i="2" s="1"/>
  <c r="P22" i="2"/>
  <c r="O22" i="2"/>
  <c r="Q21" i="2"/>
  <c r="R21" i="2" s="1"/>
  <c r="Q20" i="2"/>
  <c r="R20" i="2" s="1"/>
  <c r="P19" i="2"/>
  <c r="O19" i="2"/>
  <c r="Q18" i="2"/>
  <c r="R18" i="2" s="1"/>
  <c r="Q17" i="2"/>
  <c r="R17" i="2" s="1"/>
  <c r="P16" i="2"/>
  <c r="O16" i="2"/>
  <c r="Q15" i="2"/>
  <c r="R15" i="2" s="1"/>
  <c r="Q14" i="2"/>
  <c r="R14" i="2" s="1"/>
  <c r="P13" i="2"/>
  <c r="O13" i="2"/>
  <c r="Q12" i="2"/>
  <c r="R12" i="2" s="1"/>
  <c r="Q11" i="2"/>
  <c r="R11" i="2" s="1"/>
  <c r="O10" i="2"/>
  <c r="Q9" i="2"/>
  <c r="R9" i="2" s="1"/>
  <c r="Q8" i="2"/>
  <c r="R8" i="2" s="1"/>
  <c r="Q7" i="2"/>
  <c r="R7" i="2" s="1"/>
  <c r="Q6" i="2"/>
  <c r="R6" i="2" s="1"/>
  <c r="P5" i="2"/>
  <c r="O5" i="2"/>
  <c r="L171" i="2"/>
  <c r="M171" i="2" s="1"/>
  <c r="L170" i="2"/>
  <c r="M170" i="2" s="1"/>
  <c r="L169" i="2"/>
  <c r="M169" i="2" s="1"/>
  <c r="L168" i="2"/>
  <c r="M168" i="2" s="1"/>
  <c r="L167" i="2"/>
  <c r="M167" i="2" s="1"/>
  <c r="L166" i="2"/>
  <c r="M166" i="2" s="1"/>
  <c r="L165" i="2"/>
  <c r="M165" i="2" s="1"/>
  <c r="K164" i="2"/>
  <c r="J164" i="2"/>
  <c r="L162" i="2"/>
  <c r="M162" i="2" s="1"/>
  <c r="L161" i="2"/>
  <c r="M161" i="2" s="1"/>
  <c r="L160" i="2"/>
  <c r="M160" i="2" s="1"/>
  <c r="L159" i="2"/>
  <c r="M159" i="2" s="1"/>
  <c r="L158" i="2"/>
  <c r="M158" i="2" s="1"/>
  <c r="L157" i="2"/>
  <c r="M157" i="2" s="1"/>
  <c r="L156" i="2"/>
  <c r="M156" i="2" s="1"/>
  <c r="L155" i="2"/>
  <c r="M155" i="2" s="1"/>
  <c r="K154" i="2"/>
  <c r="J154" i="2"/>
  <c r="L152" i="2"/>
  <c r="M152" i="2" s="1"/>
  <c r="L151" i="2"/>
  <c r="M151" i="2" s="1"/>
  <c r="L150" i="2"/>
  <c r="M150" i="2" s="1"/>
  <c r="L149" i="2"/>
  <c r="M149" i="2" s="1"/>
  <c r="K148" i="2"/>
  <c r="K146" i="2" s="1"/>
  <c r="J148" i="2"/>
  <c r="J146" i="2" s="1"/>
  <c r="L147" i="2"/>
  <c r="M147" i="2" s="1"/>
  <c r="L138" i="2"/>
  <c r="M138" i="2" s="1"/>
  <c r="L137" i="2"/>
  <c r="M137" i="2" s="1"/>
  <c r="L136" i="2"/>
  <c r="M136" i="2" s="1"/>
  <c r="L135" i="2"/>
  <c r="M135" i="2" s="1"/>
  <c r="L134" i="2"/>
  <c r="M134" i="2" s="1"/>
  <c r="L133" i="2"/>
  <c r="M133" i="2" s="1"/>
  <c r="L132" i="2"/>
  <c r="M132" i="2" s="1"/>
  <c r="L131" i="2"/>
  <c r="M131" i="2" s="1"/>
  <c r="K130" i="2"/>
  <c r="J130" i="2"/>
  <c r="L128" i="2"/>
  <c r="M128" i="2" s="1"/>
  <c r="L127" i="2"/>
  <c r="M127" i="2" s="1"/>
  <c r="L126" i="2"/>
  <c r="M126" i="2" s="1"/>
  <c r="L125" i="2"/>
  <c r="M125" i="2" s="1"/>
  <c r="L124" i="2"/>
  <c r="M124" i="2" s="1"/>
  <c r="L123" i="2"/>
  <c r="M123" i="2" s="1"/>
  <c r="L122" i="2"/>
  <c r="M122" i="2" s="1"/>
  <c r="L121" i="2"/>
  <c r="M121" i="2" s="1"/>
  <c r="L120" i="2"/>
  <c r="M120" i="2" s="1"/>
  <c r="K119" i="2"/>
  <c r="J119" i="2"/>
  <c r="L118" i="2"/>
  <c r="M118" i="2" s="1"/>
  <c r="L117" i="2"/>
  <c r="M117" i="2" s="1"/>
  <c r="L116" i="2"/>
  <c r="M116" i="2" s="1"/>
  <c r="L115" i="2"/>
  <c r="M115" i="2" s="1"/>
  <c r="K114" i="2"/>
  <c r="J114" i="2"/>
  <c r="L113" i="2"/>
  <c r="M113" i="2" s="1"/>
  <c r="L112" i="2"/>
  <c r="M112" i="2" s="1"/>
  <c r="L111" i="2"/>
  <c r="M111" i="2" s="1"/>
  <c r="L110" i="2"/>
  <c r="M110" i="2" s="1"/>
  <c r="K109" i="2"/>
  <c r="J109" i="2"/>
  <c r="L108" i="2"/>
  <c r="M108" i="2" s="1"/>
  <c r="L107" i="2"/>
  <c r="M107" i="2" s="1"/>
  <c r="L106" i="2"/>
  <c r="M106" i="2" s="1"/>
  <c r="L105" i="2"/>
  <c r="M105" i="2" s="1"/>
  <c r="K104" i="2"/>
  <c r="J104" i="2"/>
  <c r="L102" i="2"/>
  <c r="M102" i="2" s="1"/>
  <c r="L101" i="2"/>
  <c r="M101" i="2" s="1"/>
  <c r="L100" i="2"/>
  <c r="M100" i="2" s="1"/>
  <c r="L99" i="2"/>
  <c r="M99" i="2" s="1"/>
  <c r="L98" i="2"/>
  <c r="M98" i="2" s="1"/>
  <c r="L95" i="2"/>
  <c r="M95" i="2" s="1"/>
  <c r="L94" i="2"/>
  <c r="M94" i="2" s="1"/>
  <c r="L93" i="2"/>
  <c r="M93" i="2" s="1"/>
  <c r="L92" i="2"/>
  <c r="M92" i="2" s="1"/>
  <c r="L91" i="2"/>
  <c r="M91" i="2" s="1"/>
  <c r="K90" i="2"/>
  <c r="L89" i="2"/>
  <c r="M89" i="2" s="1"/>
  <c r="L88" i="2"/>
  <c r="M88" i="2" s="1"/>
  <c r="L87" i="2"/>
  <c r="M87" i="2" s="1"/>
  <c r="L86" i="2"/>
  <c r="M86" i="2" s="1"/>
  <c r="L85" i="2"/>
  <c r="M85" i="2" s="1"/>
  <c r="L84" i="2"/>
  <c r="M84" i="2" s="1"/>
  <c r="L83" i="2"/>
  <c r="M83" i="2" s="1"/>
  <c r="K82" i="2"/>
  <c r="J82" i="2"/>
  <c r="L81" i="2"/>
  <c r="M81" i="2" s="1"/>
  <c r="L80" i="2"/>
  <c r="M80" i="2" s="1"/>
  <c r="L79" i="2"/>
  <c r="M79" i="2" s="1"/>
  <c r="L78" i="2"/>
  <c r="M78" i="2" s="1"/>
  <c r="L77" i="2"/>
  <c r="M77" i="2" s="1"/>
  <c r="L76" i="2"/>
  <c r="M76" i="2" s="1"/>
  <c r="L75" i="2"/>
  <c r="M75" i="2" s="1"/>
  <c r="K74" i="2"/>
  <c r="J74" i="2"/>
  <c r="L73" i="2"/>
  <c r="M73" i="2" s="1"/>
  <c r="L72" i="2"/>
  <c r="M72" i="2" s="1"/>
  <c r="L71" i="2"/>
  <c r="M71" i="2" s="1"/>
  <c r="L70" i="2"/>
  <c r="M70" i="2" s="1"/>
  <c r="L69" i="2"/>
  <c r="M69" i="2" s="1"/>
  <c r="K68" i="2"/>
  <c r="J68" i="2"/>
  <c r="L67" i="2"/>
  <c r="M67" i="2" s="1"/>
  <c r="L57" i="2"/>
  <c r="L56" i="2"/>
  <c r="M56" i="2" s="1"/>
  <c r="L55" i="2"/>
  <c r="M55" i="2" s="1"/>
  <c r="L54" i="2"/>
  <c r="M54" i="2" s="1"/>
  <c r="L53" i="2"/>
  <c r="M53" i="2" s="1"/>
  <c r="K52" i="2"/>
  <c r="K50" i="2" s="1"/>
  <c r="J52" i="2"/>
  <c r="J50" i="2" s="1"/>
  <c r="L51" i="2"/>
  <c r="M51" i="2" s="1"/>
  <c r="L49" i="2"/>
  <c r="M49" i="2" s="1"/>
  <c r="L48" i="2"/>
  <c r="M48" i="2" s="1"/>
  <c r="L47" i="2"/>
  <c r="M47" i="2" s="1"/>
  <c r="L46" i="2"/>
  <c r="M46" i="2" s="1"/>
  <c r="L45" i="2"/>
  <c r="M45" i="2" s="1"/>
  <c r="L44" i="2"/>
  <c r="M44" i="2" s="1"/>
  <c r="L43" i="2"/>
  <c r="M43" i="2" s="1"/>
  <c r="L42" i="2"/>
  <c r="M42" i="2" s="1"/>
  <c r="L41" i="2"/>
  <c r="M41" i="2" s="1"/>
  <c r="L40" i="2"/>
  <c r="M40" i="2" s="1"/>
  <c r="K39" i="2"/>
  <c r="J39" i="2"/>
  <c r="L38" i="2"/>
  <c r="M38" i="2" s="1"/>
  <c r="L36" i="2"/>
  <c r="M36" i="2" s="1"/>
  <c r="K35" i="2"/>
  <c r="J35" i="2"/>
  <c r="L31" i="2"/>
  <c r="M31" i="2" s="1"/>
  <c r="L30" i="2"/>
  <c r="M30" i="2" s="1"/>
  <c r="L29" i="2"/>
  <c r="M29" i="2" s="1"/>
  <c r="L28" i="2"/>
  <c r="M28" i="2" s="1"/>
  <c r="L27" i="2"/>
  <c r="M27" i="2" s="1"/>
  <c r="L26" i="2"/>
  <c r="L24" i="2"/>
  <c r="M24" i="2" s="1"/>
  <c r="L23" i="2"/>
  <c r="M23" i="2" s="1"/>
  <c r="K22" i="2"/>
  <c r="J22" i="2"/>
  <c r="L21" i="2"/>
  <c r="M21" i="2" s="1"/>
  <c r="L20" i="2"/>
  <c r="M20" i="2" s="1"/>
  <c r="K19" i="2"/>
  <c r="J19" i="2"/>
  <c r="L18" i="2"/>
  <c r="M18" i="2" s="1"/>
  <c r="L17" i="2"/>
  <c r="M17" i="2" s="1"/>
  <c r="K16" i="2"/>
  <c r="J16" i="2"/>
  <c r="L15" i="2"/>
  <c r="M15" i="2" s="1"/>
  <c r="L14" i="2"/>
  <c r="M14" i="2" s="1"/>
  <c r="K13" i="2"/>
  <c r="J13" i="2"/>
  <c r="L12" i="2"/>
  <c r="M12" i="2" s="1"/>
  <c r="L11" i="2"/>
  <c r="M11" i="2" s="1"/>
  <c r="K10" i="2"/>
  <c r="J10" i="2"/>
  <c r="L9" i="2"/>
  <c r="M9" i="2" s="1"/>
  <c r="L8" i="2"/>
  <c r="M8" i="2" s="1"/>
  <c r="L7" i="2"/>
  <c r="M7" i="2" s="1"/>
  <c r="M6" i="2"/>
  <c r="K5" i="2"/>
  <c r="J5" i="2"/>
  <c r="P3" i="12" l="1"/>
  <c r="Q16" i="5"/>
  <c r="R16" i="5" s="1"/>
  <c r="P44" i="5"/>
  <c r="K129" i="2"/>
  <c r="P129" i="2"/>
  <c r="P9" i="12"/>
  <c r="Q9" i="12" s="1"/>
  <c r="R9" i="12" s="1"/>
  <c r="R171" i="2"/>
  <c r="T129" i="2"/>
  <c r="V129" i="2" s="1"/>
  <c r="W129" i="2" s="1"/>
  <c r="T9" i="12"/>
  <c r="V9" i="12" s="1"/>
  <c r="W9" i="12" s="1"/>
  <c r="J129" i="2"/>
  <c r="L129" i="2" s="1"/>
  <c r="M129" i="2" s="1"/>
  <c r="J9" i="12"/>
  <c r="O129" i="2"/>
  <c r="O9" i="12"/>
  <c r="K3" i="12"/>
  <c r="M57" i="2"/>
  <c r="K44" i="5"/>
  <c r="L5" i="5"/>
  <c r="M5" i="5" s="1"/>
  <c r="K19" i="5"/>
  <c r="J3" i="12"/>
  <c r="R26" i="2"/>
  <c r="M26" i="2"/>
  <c r="M8" i="12" s="1"/>
  <c r="L8" i="12"/>
  <c r="V44" i="5"/>
  <c r="W44" i="5" s="1"/>
  <c r="Q44" i="5"/>
  <c r="R44" i="5" s="1"/>
  <c r="L36" i="5"/>
  <c r="M36" i="5" s="1"/>
  <c r="L44" i="5"/>
  <c r="M44" i="5" s="1"/>
  <c r="O3" i="12"/>
  <c r="T3" i="12"/>
  <c r="V3" i="12" s="1"/>
  <c r="W3" i="12" s="1"/>
  <c r="T19" i="5"/>
  <c r="O19" i="5"/>
  <c r="O29" i="5"/>
  <c r="O27" i="5" s="1"/>
  <c r="O34" i="5" s="1"/>
  <c r="L6" i="5"/>
  <c r="M6" i="5" s="1"/>
  <c r="J19" i="5"/>
  <c r="L19" i="5" s="1"/>
  <c r="M19" i="5" s="1"/>
  <c r="J29" i="5"/>
  <c r="J27" i="5" s="1"/>
  <c r="L27" i="5" s="1"/>
  <c r="M27" i="5" s="1"/>
  <c r="R58" i="11"/>
  <c r="U59" i="11"/>
  <c r="L60" i="11"/>
  <c r="M60" i="11" s="1"/>
  <c r="V52" i="11"/>
  <c r="W52" i="11" s="1"/>
  <c r="M58" i="11"/>
  <c r="W58" i="11"/>
  <c r="Q70" i="11"/>
  <c r="R70" i="11" s="1"/>
  <c r="T59" i="11"/>
  <c r="P59" i="11"/>
  <c r="P83" i="11"/>
  <c r="Q83" i="11" s="1"/>
  <c r="R83" i="11" s="1"/>
  <c r="Q52" i="11"/>
  <c r="R52" i="11" s="1"/>
  <c r="Q60" i="11"/>
  <c r="R60" i="11" s="1"/>
  <c r="V60" i="11"/>
  <c r="W60" i="11" s="1"/>
  <c r="V70" i="11"/>
  <c r="W70" i="11" s="1"/>
  <c r="V84" i="11"/>
  <c r="W84" i="11" s="1"/>
  <c r="T83" i="11"/>
  <c r="T82" i="11" s="1"/>
  <c r="O59" i="11"/>
  <c r="U83" i="11"/>
  <c r="U82" i="11" s="1"/>
  <c r="K59" i="11"/>
  <c r="L52" i="11"/>
  <c r="M52" i="11" s="1"/>
  <c r="J59" i="11"/>
  <c r="T4" i="2"/>
  <c r="T3" i="2" s="1"/>
  <c r="Q148" i="2"/>
  <c r="R148" i="2" s="1"/>
  <c r="Q164" i="2"/>
  <c r="R164" i="2" s="1"/>
  <c r="K59" i="2"/>
  <c r="U103" i="2"/>
  <c r="L5" i="2"/>
  <c r="U59" i="2"/>
  <c r="O34" i="2"/>
  <c r="O33" i="2" s="1"/>
  <c r="V63" i="2"/>
  <c r="W63" i="2" s="1"/>
  <c r="Q104" i="2"/>
  <c r="R104" i="2" s="1"/>
  <c r="V13" i="2"/>
  <c r="W13" i="2" s="1"/>
  <c r="V19" i="2"/>
  <c r="W19" i="2" s="1"/>
  <c r="V154" i="2"/>
  <c r="W154" i="2" s="1"/>
  <c r="P146" i="2"/>
  <c r="Q146" i="2" s="1"/>
  <c r="R146" i="2" s="1"/>
  <c r="V50" i="2"/>
  <c r="W50" i="2" s="1"/>
  <c r="V109" i="2"/>
  <c r="W109" i="2" s="1"/>
  <c r="Q10" i="2"/>
  <c r="R10" i="2" s="1"/>
  <c r="L119" i="2"/>
  <c r="M119" i="2" s="1"/>
  <c r="T34" i="2"/>
  <c r="T33" i="2" s="1"/>
  <c r="V33" i="2" s="1"/>
  <c r="Q74" i="2"/>
  <c r="R74" i="2" s="1"/>
  <c r="L10" i="2"/>
  <c r="M10" i="2" s="1"/>
  <c r="Q39" i="2"/>
  <c r="R39" i="2" s="1"/>
  <c r="U140" i="2"/>
  <c r="L19" i="2"/>
  <c r="M19" i="2" s="1"/>
  <c r="L148" i="2"/>
  <c r="M148" i="2" s="1"/>
  <c r="L164" i="2"/>
  <c r="M164" i="2" s="1"/>
  <c r="V68" i="2"/>
  <c r="W68" i="2" s="1"/>
  <c r="V82" i="2"/>
  <c r="W82" i="2" s="1"/>
  <c r="T66" i="2"/>
  <c r="V96" i="2"/>
  <c r="W96" i="2" s="1"/>
  <c r="L39" i="2"/>
  <c r="M39" i="2" s="1"/>
  <c r="L142" i="2"/>
  <c r="M142" i="2" s="1"/>
  <c r="Q119" i="2"/>
  <c r="R119" i="2" s="1"/>
  <c r="Q141" i="2"/>
  <c r="R141" i="2" s="1"/>
  <c r="P4" i="2"/>
  <c r="P3" i="2" s="1"/>
  <c r="L22" i="2"/>
  <c r="M22" i="2" s="1"/>
  <c r="L16" i="2"/>
  <c r="M16" i="2" s="1"/>
  <c r="P59" i="2"/>
  <c r="Q114" i="2"/>
  <c r="R114" i="2" s="1"/>
  <c r="U4" i="2"/>
  <c r="U3" i="2" s="1"/>
  <c r="U163" i="2" s="1"/>
  <c r="K4" i="2"/>
  <c r="K3" i="2" s="1"/>
  <c r="K163" i="2" s="1"/>
  <c r="J4" i="2"/>
  <c r="J3" i="2" s="1"/>
  <c r="J163" i="2" s="1"/>
  <c r="Q109" i="2"/>
  <c r="R109" i="2" s="1"/>
  <c r="V148" i="2"/>
  <c r="W148" i="2" s="1"/>
  <c r="J34" i="2"/>
  <c r="J33" i="2" s="1"/>
  <c r="J103" i="2"/>
  <c r="L109" i="2"/>
  <c r="M109" i="2" s="1"/>
  <c r="Q13" i="2"/>
  <c r="R13" i="2" s="1"/>
  <c r="Q50" i="2"/>
  <c r="R50" i="2" s="1"/>
  <c r="Q142" i="2"/>
  <c r="R142" i="2" s="1"/>
  <c r="V114" i="2"/>
  <c r="W114" i="2" s="1"/>
  <c r="V142" i="2"/>
  <c r="W142" i="2" s="1"/>
  <c r="J140" i="2"/>
  <c r="Q19" i="2"/>
  <c r="R19" i="2" s="1"/>
  <c r="O66" i="2"/>
  <c r="U34" i="2"/>
  <c r="U33" i="2" s="1"/>
  <c r="T59" i="2"/>
  <c r="M141" i="2"/>
  <c r="L50" i="2"/>
  <c r="M50" i="2" s="1"/>
  <c r="L74" i="2"/>
  <c r="M74" i="2" s="1"/>
  <c r="L146" i="2"/>
  <c r="M146" i="2" s="1"/>
  <c r="O4" i="2"/>
  <c r="O3" i="2" s="1"/>
  <c r="Q82" i="2"/>
  <c r="R82" i="2" s="1"/>
  <c r="V74" i="2"/>
  <c r="W74" i="2" s="1"/>
  <c r="T103" i="2"/>
  <c r="T140" i="2"/>
  <c r="L154" i="2"/>
  <c r="M154" i="2" s="1"/>
  <c r="Q16" i="2"/>
  <c r="R16" i="2" s="1"/>
  <c r="Q90" i="2"/>
  <c r="R90" i="2" s="1"/>
  <c r="Q143" i="2"/>
  <c r="R143" i="2" s="1"/>
  <c r="Q154" i="2"/>
  <c r="R154" i="2" s="1"/>
  <c r="V39" i="2"/>
  <c r="W39" i="2" s="1"/>
  <c r="U66" i="2"/>
  <c r="V143" i="2"/>
  <c r="W143" i="2" s="1"/>
  <c r="V164" i="2"/>
  <c r="W164" i="2" s="1"/>
  <c r="L130" i="2"/>
  <c r="M130" i="2" s="1"/>
  <c r="Q22" i="2"/>
  <c r="R22" i="2" s="1"/>
  <c r="V10" i="2"/>
  <c r="W10" i="2" s="1"/>
  <c r="V16" i="2"/>
  <c r="W16" i="2" s="1"/>
  <c r="V22" i="2"/>
  <c r="W22" i="2" s="1"/>
  <c r="V119" i="2"/>
  <c r="W119" i="2" s="1"/>
  <c r="L13" i="2"/>
  <c r="M13" i="2" s="1"/>
  <c r="L104" i="2"/>
  <c r="M104" i="2" s="1"/>
  <c r="L90" i="2"/>
  <c r="M90" i="2" s="1"/>
  <c r="L114" i="2"/>
  <c r="M114" i="2" s="1"/>
  <c r="K140" i="2"/>
  <c r="J66" i="2"/>
  <c r="L82" i="2"/>
  <c r="M82" i="2" s="1"/>
  <c r="P103" i="2"/>
  <c r="K34" i="2"/>
  <c r="K66" i="2"/>
  <c r="K103" i="2"/>
  <c r="P34" i="2"/>
  <c r="P33" i="2" s="1"/>
  <c r="O103" i="2"/>
  <c r="P140" i="2"/>
  <c r="L52" i="2"/>
  <c r="M52" i="2" s="1"/>
  <c r="Q35" i="2"/>
  <c r="R35" i="2" s="1"/>
  <c r="P66" i="2"/>
  <c r="O140" i="2"/>
  <c r="V35" i="2"/>
  <c r="W35" i="2" s="1"/>
  <c r="V90" i="2"/>
  <c r="W90" i="2" s="1"/>
  <c r="V130" i="2"/>
  <c r="W130" i="2" s="1"/>
  <c r="U19" i="5"/>
  <c r="V19" i="5" s="1"/>
  <c r="W19" i="5" s="1"/>
  <c r="V5" i="5"/>
  <c r="W5" i="5" s="1"/>
  <c r="V6" i="5"/>
  <c r="W6" i="5" s="1"/>
  <c r="V36" i="5"/>
  <c r="W36" i="5" s="1"/>
  <c r="U34" i="5"/>
  <c r="P19" i="5"/>
  <c r="Q19" i="5" s="1"/>
  <c r="R19" i="5" s="1"/>
  <c r="Q5" i="5"/>
  <c r="R5" i="5" s="1"/>
  <c r="Q6" i="5"/>
  <c r="R6" i="5" s="1"/>
  <c r="P27" i="5"/>
  <c r="P34" i="5" s="1"/>
  <c r="Q36" i="5"/>
  <c r="R36" i="5" s="1"/>
  <c r="K34" i="5"/>
  <c r="L16" i="5"/>
  <c r="M16" i="5" s="1"/>
  <c r="L40" i="5"/>
  <c r="M40" i="5" s="1"/>
  <c r="Q84" i="11"/>
  <c r="R84" i="11" s="1"/>
  <c r="O82" i="11"/>
  <c r="L84" i="11"/>
  <c r="M84" i="11" s="1"/>
  <c r="L70" i="11"/>
  <c r="M70" i="11" s="1"/>
  <c r="J83" i="11"/>
  <c r="J82" i="11" s="1"/>
  <c r="K83" i="11"/>
  <c r="T146" i="2"/>
  <c r="V146" i="2" s="1"/>
  <c r="W146" i="2" s="1"/>
  <c r="V5" i="2"/>
  <c r="W5" i="2" s="1"/>
  <c r="V60" i="2"/>
  <c r="W60" i="2" s="1"/>
  <c r="V104" i="2"/>
  <c r="W104" i="2" s="1"/>
  <c r="V141" i="2"/>
  <c r="W141" i="2" s="1"/>
  <c r="V52" i="2"/>
  <c r="W52" i="2" s="1"/>
  <c r="Q68" i="2"/>
  <c r="R68" i="2" s="1"/>
  <c r="Q130" i="2"/>
  <c r="R130" i="2" s="1"/>
  <c r="Q5" i="2"/>
  <c r="Q52" i="2"/>
  <c r="R52" i="2" s="1"/>
  <c r="L68" i="2"/>
  <c r="M68" i="2" s="1"/>
  <c r="L35" i="2"/>
  <c r="M35" i="2" s="1"/>
  <c r="M143" i="2"/>
  <c r="C29" i="5"/>
  <c r="C27" i="5" s="1"/>
  <c r="D6" i="5"/>
  <c r="E6" i="5"/>
  <c r="F6" i="5"/>
  <c r="C6" i="5"/>
  <c r="C16" i="5"/>
  <c r="C83" i="11"/>
  <c r="F60" i="11"/>
  <c r="F70" i="11"/>
  <c r="C70" i="11"/>
  <c r="G75" i="11"/>
  <c r="H75" i="11" s="1"/>
  <c r="G54" i="11"/>
  <c r="H54" i="11" s="1"/>
  <c r="G53" i="11"/>
  <c r="H53" i="11" s="1"/>
  <c r="Q129" i="2" l="1"/>
  <c r="R129" i="2" s="1"/>
  <c r="L9" i="12"/>
  <c r="K58" i="2"/>
  <c r="R5" i="2"/>
  <c r="R3" i="12" s="1"/>
  <c r="Q3" i="12"/>
  <c r="M5" i="2"/>
  <c r="M3" i="12" s="1"/>
  <c r="L3" i="12"/>
  <c r="L29" i="5"/>
  <c r="M29" i="5" s="1"/>
  <c r="J34" i="5"/>
  <c r="L34" i="5" s="1"/>
  <c r="M34" i="5" s="1"/>
  <c r="Q27" i="5"/>
  <c r="R27" i="5" s="1"/>
  <c r="Q29" i="5"/>
  <c r="R29" i="5" s="1"/>
  <c r="Q34" i="5"/>
  <c r="R34" i="5" s="1"/>
  <c r="J58" i="2"/>
  <c r="T58" i="2"/>
  <c r="V58" i="2" s="1"/>
  <c r="O58" i="2"/>
  <c r="O32" i="2" s="1"/>
  <c r="P58" i="2"/>
  <c r="U58" i="2"/>
  <c r="C84" i="11"/>
  <c r="C59" i="11"/>
  <c r="C80" i="11" s="1"/>
  <c r="L59" i="11"/>
  <c r="M59" i="11" s="1"/>
  <c r="V82" i="11"/>
  <c r="W82" i="11" s="1"/>
  <c r="P80" i="11"/>
  <c r="P82" i="11"/>
  <c r="U80" i="11"/>
  <c r="V59" i="11"/>
  <c r="W59" i="11" s="1"/>
  <c r="V83" i="11"/>
  <c r="W83" i="11" s="1"/>
  <c r="Q59" i="11"/>
  <c r="R59" i="11" s="1"/>
  <c r="L34" i="2"/>
  <c r="M34" i="2" s="1"/>
  <c r="V103" i="2"/>
  <c r="W103" i="2" s="1"/>
  <c r="L59" i="2"/>
  <c r="M59" i="2" s="1"/>
  <c r="L4" i="2"/>
  <c r="M4" i="2" s="1"/>
  <c r="Q59" i="2"/>
  <c r="R59" i="2" s="1"/>
  <c r="P163" i="2"/>
  <c r="V4" i="2"/>
  <c r="W4" i="2" s="1"/>
  <c r="Q34" i="2"/>
  <c r="R34" i="2" s="1"/>
  <c r="V3" i="2"/>
  <c r="W3" i="2" s="1"/>
  <c r="V140" i="2"/>
  <c r="W140" i="2" s="1"/>
  <c r="L3" i="2"/>
  <c r="M3" i="2" s="1"/>
  <c r="K33" i="2"/>
  <c r="L33" i="2" s="1"/>
  <c r="M33" i="2" s="1"/>
  <c r="V59" i="2"/>
  <c r="W59" i="2" s="1"/>
  <c r="V34" i="2"/>
  <c r="W34" i="2" s="1"/>
  <c r="V66" i="2"/>
  <c r="W66" i="2" s="1"/>
  <c r="Q66" i="2"/>
  <c r="R66" i="2" s="1"/>
  <c r="L66" i="2"/>
  <c r="M66" i="2" s="1"/>
  <c r="Q140" i="2"/>
  <c r="R140" i="2" s="1"/>
  <c r="L140" i="2"/>
  <c r="M140" i="2" s="1"/>
  <c r="Q3" i="2"/>
  <c r="R3" i="2" s="1"/>
  <c r="L103" i="2"/>
  <c r="M103" i="2" s="1"/>
  <c r="Q4" i="2"/>
  <c r="R4" i="2" s="1"/>
  <c r="Q103" i="2"/>
  <c r="R103" i="2" s="1"/>
  <c r="U47" i="5"/>
  <c r="P47" i="5"/>
  <c r="P51" i="5" s="1"/>
  <c r="K47" i="5"/>
  <c r="K82" i="11"/>
  <c r="L83" i="11"/>
  <c r="M83" i="11" s="1"/>
  <c r="U32" i="2"/>
  <c r="W33" i="2"/>
  <c r="T163" i="2"/>
  <c r="V163" i="2" s="1"/>
  <c r="W163" i="2" s="1"/>
  <c r="Q33" i="2"/>
  <c r="R33" i="2" s="1"/>
  <c r="O163" i="2"/>
  <c r="L163" i="2"/>
  <c r="M163" i="2" s="1"/>
  <c r="M9" i="12" s="1"/>
  <c r="G52" i="11"/>
  <c r="H52" i="11" s="1"/>
  <c r="Q163" i="2" l="1"/>
  <c r="R163" i="2" s="1"/>
  <c r="Q82" i="11"/>
  <c r="R82" i="11" s="1"/>
  <c r="L82" i="11"/>
  <c r="M82" i="11" s="1"/>
  <c r="L58" i="2"/>
  <c r="M58" i="2" s="1"/>
  <c r="J32" i="2"/>
  <c r="J144" i="2" s="1"/>
  <c r="J172" i="2" s="1"/>
  <c r="Q58" i="2"/>
  <c r="R58" i="2" s="1"/>
  <c r="O144" i="2"/>
  <c r="O172" i="2" s="1"/>
  <c r="O4" i="12" s="1"/>
  <c r="O5" i="12" s="1"/>
  <c r="T32" i="2"/>
  <c r="T144" i="2" s="1"/>
  <c r="T172" i="2" s="1"/>
  <c r="T4" i="12" s="1"/>
  <c r="W58" i="2"/>
  <c r="K32" i="2"/>
  <c r="P32" i="2"/>
  <c r="U144" i="2"/>
  <c r="C16" i="2"/>
  <c r="J4" i="12" l="1"/>
  <c r="J5" i="12" s="1"/>
  <c r="J15" i="12" s="1"/>
  <c r="J174" i="2"/>
  <c r="J175" i="2"/>
  <c r="L32" i="2"/>
  <c r="M32" i="2" s="1"/>
  <c r="J145" i="2"/>
  <c r="J153" i="2" s="1"/>
  <c r="J173" i="2" s="1"/>
  <c r="V4" i="12"/>
  <c r="W4" i="12" s="1"/>
  <c r="T5" i="12"/>
  <c r="O15" i="12"/>
  <c r="J17" i="12"/>
  <c r="J20" i="12" s="1"/>
  <c r="O145" i="2"/>
  <c r="O153" i="2" s="1"/>
  <c r="O173" i="2" s="1"/>
  <c r="Q32" i="2"/>
  <c r="R32" i="2" s="1"/>
  <c r="P144" i="2"/>
  <c r="P145" i="2" s="1"/>
  <c r="T145" i="2"/>
  <c r="T153" i="2" s="1"/>
  <c r="T173" i="2" s="1"/>
  <c r="V32" i="2"/>
  <c r="W32" i="2" s="1"/>
  <c r="K144" i="2"/>
  <c r="K172" i="2" s="1"/>
  <c r="V144" i="2"/>
  <c r="W144" i="2" s="1"/>
  <c r="U172" i="2"/>
  <c r="V172" i="2" s="1"/>
  <c r="W172" i="2" s="1"/>
  <c r="U145" i="2"/>
  <c r="C114" i="2"/>
  <c r="G6" i="2"/>
  <c r="H6" i="2" s="1"/>
  <c r="F5" i="2"/>
  <c r="F10" i="2"/>
  <c r="F13" i="2"/>
  <c r="F16" i="2"/>
  <c r="F19" i="2"/>
  <c r="F22" i="2"/>
  <c r="F35" i="2"/>
  <c r="F39" i="2"/>
  <c r="F52" i="2"/>
  <c r="F50" i="2" s="1"/>
  <c r="F68" i="2"/>
  <c r="F74" i="2"/>
  <c r="F82" i="2"/>
  <c r="F90" i="2"/>
  <c r="F104" i="2"/>
  <c r="F109" i="2"/>
  <c r="F114" i="2"/>
  <c r="F119" i="2"/>
  <c r="F130" i="2"/>
  <c r="F148" i="2"/>
  <c r="F154" i="2"/>
  <c r="F164" i="2"/>
  <c r="E5" i="2"/>
  <c r="E10" i="2"/>
  <c r="E13" i="2"/>
  <c r="E16" i="2"/>
  <c r="E19" i="2"/>
  <c r="E22" i="2"/>
  <c r="E35" i="2"/>
  <c r="E39" i="2"/>
  <c r="E52" i="2"/>
  <c r="E50" i="2" s="1"/>
  <c r="E68" i="2"/>
  <c r="E74" i="2"/>
  <c r="E82" i="2"/>
  <c r="E90" i="2"/>
  <c r="E104" i="2"/>
  <c r="E109" i="2"/>
  <c r="G116" i="2"/>
  <c r="H116" i="2" s="1"/>
  <c r="E119" i="2"/>
  <c r="E130" i="2"/>
  <c r="E148" i="2"/>
  <c r="E146" i="2" s="1"/>
  <c r="E154" i="2"/>
  <c r="E164" i="2"/>
  <c r="G171" i="2"/>
  <c r="H171" i="2" s="1"/>
  <c r="G170" i="2"/>
  <c r="H170" i="2" s="1"/>
  <c r="G169" i="2"/>
  <c r="H169" i="2" s="1"/>
  <c r="G168" i="2"/>
  <c r="H168" i="2" s="1"/>
  <c r="G167" i="2"/>
  <c r="H167" i="2" s="1"/>
  <c r="G166" i="2"/>
  <c r="H166" i="2" s="1"/>
  <c r="G165" i="2"/>
  <c r="H165" i="2" s="1"/>
  <c r="G162" i="2"/>
  <c r="G161" i="2"/>
  <c r="H161" i="2" s="1"/>
  <c r="G160" i="2"/>
  <c r="H160" i="2" s="1"/>
  <c r="G159" i="2"/>
  <c r="H159" i="2" s="1"/>
  <c r="G158" i="2"/>
  <c r="H158" i="2" s="1"/>
  <c r="G157" i="2"/>
  <c r="H157" i="2" s="1"/>
  <c r="G156" i="2"/>
  <c r="H156" i="2" s="1"/>
  <c r="G155" i="2"/>
  <c r="H155" i="2" s="1"/>
  <c r="G152" i="2"/>
  <c r="H152" i="2" s="1"/>
  <c r="G151" i="2"/>
  <c r="H151" i="2" s="1"/>
  <c r="G150" i="2"/>
  <c r="H150" i="2" s="1"/>
  <c r="G149" i="2"/>
  <c r="H149" i="2" s="1"/>
  <c r="G147" i="2"/>
  <c r="H147" i="2" s="1"/>
  <c r="G138" i="2"/>
  <c r="H138" i="2" s="1"/>
  <c r="G137" i="2"/>
  <c r="H137" i="2" s="1"/>
  <c r="G136" i="2"/>
  <c r="H136" i="2" s="1"/>
  <c r="G135" i="2"/>
  <c r="H135" i="2" s="1"/>
  <c r="G134" i="2"/>
  <c r="H134" i="2" s="1"/>
  <c r="G133" i="2"/>
  <c r="H133" i="2" s="1"/>
  <c r="G132" i="2"/>
  <c r="H132" i="2" s="1"/>
  <c r="G131" i="2"/>
  <c r="H131" i="2" s="1"/>
  <c r="G128" i="2"/>
  <c r="H128" i="2" s="1"/>
  <c r="G127" i="2"/>
  <c r="H127" i="2" s="1"/>
  <c r="G126" i="2"/>
  <c r="H126" i="2" s="1"/>
  <c r="G125" i="2"/>
  <c r="H125" i="2" s="1"/>
  <c r="G124" i="2"/>
  <c r="H124" i="2" s="1"/>
  <c r="G123" i="2"/>
  <c r="H123" i="2" s="1"/>
  <c r="G122" i="2"/>
  <c r="H122" i="2" s="1"/>
  <c r="G121" i="2"/>
  <c r="H121" i="2" s="1"/>
  <c r="G120" i="2"/>
  <c r="H120" i="2" s="1"/>
  <c r="G118" i="2"/>
  <c r="H118" i="2" s="1"/>
  <c r="G113" i="2"/>
  <c r="H113" i="2" s="1"/>
  <c r="G112" i="2"/>
  <c r="H112" i="2" s="1"/>
  <c r="G111" i="2"/>
  <c r="H111" i="2" s="1"/>
  <c r="G110" i="2"/>
  <c r="H110" i="2" s="1"/>
  <c r="G108" i="2"/>
  <c r="H108" i="2" s="1"/>
  <c r="G107" i="2"/>
  <c r="H107" i="2" s="1"/>
  <c r="G106" i="2"/>
  <c r="H106" i="2" s="1"/>
  <c r="G105" i="2"/>
  <c r="H105" i="2" s="1"/>
  <c r="G102" i="2"/>
  <c r="H102" i="2" s="1"/>
  <c r="G101" i="2"/>
  <c r="H101" i="2" s="1"/>
  <c r="G100" i="2"/>
  <c r="H100" i="2" s="1"/>
  <c r="G99" i="2"/>
  <c r="H99" i="2" s="1"/>
  <c r="G98" i="2"/>
  <c r="H98" i="2" s="1"/>
  <c r="G95" i="2"/>
  <c r="H95" i="2" s="1"/>
  <c r="G94" i="2"/>
  <c r="H94" i="2" s="1"/>
  <c r="G93" i="2"/>
  <c r="H93" i="2" s="1"/>
  <c r="G92" i="2"/>
  <c r="H92" i="2" s="1"/>
  <c r="G91" i="2"/>
  <c r="H91" i="2" s="1"/>
  <c r="G89" i="2"/>
  <c r="H89" i="2" s="1"/>
  <c r="G88" i="2"/>
  <c r="H88" i="2" s="1"/>
  <c r="G87" i="2"/>
  <c r="H87" i="2" s="1"/>
  <c r="G86" i="2"/>
  <c r="H86" i="2" s="1"/>
  <c r="G85" i="2"/>
  <c r="H85" i="2" s="1"/>
  <c r="G84" i="2"/>
  <c r="H84" i="2" s="1"/>
  <c r="G83" i="2"/>
  <c r="H83" i="2" s="1"/>
  <c r="G81" i="2"/>
  <c r="H81" i="2" s="1"/>
  <c r="G80" i="2"/>
  <c r="H80" i="2" s="1"/>
  <c r="G79" i="2"/>
  <c r="H79" i="2" s="1"/>
  <c r="G78" i="2"/>
  <c r="H78" i="2" s="1"/>
  <c r="G77" i="2"/>
  <c r="H77" i="2" s="1"/>
  <c r="G76" i="2"/>
  <c r="H76" i="2" s="1"/>
  <c r="G75" i="2"/>
  <c r="H75" i="2" s="1"/>
  <c r="G73" i="2"/>
  <c r="H73" i="2" s="1"/>
  <c r="G72" i="2"/>
  <c r="H72" i="2" s="1"/>
  <c r="G71" i="2"/>
  <c r="H71" i="2" s="1"/>
  <c r="G70" i="2"/>
  <c r="H70" i="2" s="1"/>
  <c r="G69" i="2"/>
  <c r="H69" i="2" s="1"/>
  <c r="G67" i="2"/>
  <c r="H67" i="2" s="1"/>
  <c r="G57" i="2"/>
  <c r="G56" i="2"/>
  <c r="H56" i="2" s="1"/>
  <c r="G55" i="2"/>
  <c r="H55" i="2" s="1"/>
  <c r="G54" i="2"/>
  <c r="H54" i="2" s="1"/>
  <c r="G53" i="2"/>
  <c r="H53" i="2" s="1"/>
  <c r="G51" i="2"/>
  <c r="H51" i="2" s="1"/>
  <c r="G49" i="2"/>
  <c r="H49" i="2" s="1"/>
  <c r="G48" i="2"/>
  <c r="H48" i="2" s="1"/>
  <c r="G47" i="2"/>
  <c r="H47" i="2" s="1"/>
  <c r="G46" i="2"/>
  <c r="H46" i="2" s="1"/>
  <c r="G45" i="2"/>
  <c r="H45" i="2" s="1"/>
  <c r="G44" i="2"/>
  <c r="H44" i="2" s="1"/>
  <c r="G43" i="2"/>
  <c r="H43" i="2" s="1"/>
  <c r="G42" i="2"/>
  <c r="H42" i="2" s="1"/>
  <c r="G41" i="2"/>
  <c r="H41" i="2" s="1"/>
  <c r="G40" i="2"/>
  <c r="H40" i="2" s="1"/>
  <c r="G38" i="2"/>
  <c r="H38" i="2" s="1"/>
  <c r="G36" i="2"/>
  <c r="H36" i="2" s="1"/>
  <c r="G31" i="2"/>
  <c r="H31" i="2" s="1"/>
  <c r="G30" i="2"/>
  <c r="H30" i="2" s="1"/>
  <c r="G29" i="2"/>
  <c r="H29" i="2" s="1"/>
  <c r="G28" i="2"/>
  <c r="H28" i="2" s="1"/>
  <c r="H27" i="2"/>
  <c r="H26" i="2"/>
  <c r="G24" i="2"/>
  <c r="H24" i="2" s="1"/>
  <c r="G23" i="2"/>
  <c r="H23" i="2" s="1"/>
  <c r="G21" i="2"/>
  <c r="H21" i="2" s="1"/>
  <c r="G20" i="2"/>
  <c r="H20" i="2" s="1"/>
  <c r="G18" i="2"/>
  <c r="H18" i="2" s="1"/>
  <c r="G17" i="2"/>
  <c r="H17" i="2" s="1"/>
  <c r="G15" i="2"/>
  <c r="H15" i="2" s="1"/>
  <c r="G14" i="2"/>
  <c r="H14" i="2" s="1"/>
  <c r="G12" i="2"/>
  <c r="H12" i="2" s="1"/>
  <c r="G11" i="2"/>
  <c r="H11" i="2" s="1"/>
  <c r="G9" i="2"/>
  <c r="H9" i="2" s="1"/>
  <c r="G8" i="2"/>
  <c r="H8" i="2" s="1"/>
  <c r="G7" i="2"/>
  <c r="H7" i="2" s="1"/>
  <c r="F40" i="5"/>
  <c r="F21" i="5"/>
  <c r="G54" i="5"/>
  <c r="H54" i="5" s="1"/>
  <c r="G53" i="5"/>
  <c r="H53" i="5" s="1"/>
  <c r="G52" i="5"/>
  <c r="H52" i="5" s="1"/>
  <c r="G50" i="5"/>
  <c r="H50" i="5" s="1"/>
  <c r="G49" i="5"/>
  <c r="H49" i="5" s="1"/>
  <c r="G48" i="5"/>
  <c r="H48" i="5" s="1"/>
  <c r="G46" i="5"/>
  <c r="H46" i="5" s="1"/>
  <c r="G45" i="5"/>
  <c r="H45" i="5" s="1"/>
  <c r="G43" i="5"/>
  <c r="H43" i="5" s="1"/>
  <c r="G42" i="5"/>
  <c r="H42" i="5" s="1"/>
  <c r="G41" i="5"/>
  <c r="H41" i="5" s="1"/>
  <c r="E40" i="5"/>
  <c r="G38" i="5"/>
  <c r="H38" i="5" s="1"/>
  <c r="G37" i="5"/>
  <c r="H37" i="5" s="1"/>
  <c r="G33" i="5"/>
  <c r="H33" i="5" s="1"/>
  <c r="G28" i="5"/>
  <c r="H28" i="5" s="1"/>
  <c r="G26" i="5"/>
  <c r="H26" i="5" s="1"/>
  <c r="G25" i="5"/>
  <c r="H25" i="5" s="1"/>
  <c r="G24" i="5"/>
  <c r="H24" i="5" s="1"/>
  <c r="G23" i="5"/>
  <c r="H23" i="5" s="1"/>
  <c r="G22" i="5"/>
  <c r="H22" i="5" s="1"/>
  <c r="E21" i="5"/>
  <c r="G9" i="5"/>
  <c r="H9" i="5" s="1"/>
  <c r="G15" i="5"/>
  <c r="H15" i="5" s="1"/>
  <c r="G14" i="5"/>
  <c r="H14" i="5" s="1"/>
  <c r="G13" i="5"/>
  <c r="H13" i="5" s="1"/>
  <c r="F84" i="11"/>
  <c r="F83" i="11"/>
  <c r="E70" i="11"/>
  <c r="E84" i="11" s="1"/>
  <c r="E60" i="11"/>
  <c r="G79" i="11"/>
  <c r="H79" i="11" s="1"/>
  <c r="G78" i="11"/>
  <c r="H78" i="11" s="1"/>
  <c r="G77" i="11"/>
  <c r="H77" i="11" s="1"/>
  <c r="G76" i="11"/>
  <c r="H76" i="11" s="1"/>
  <c r="G74" i="11"/>
  <c r="H74" i="11" s="1"/>
  <c r="G73" i="11"/>
  <c r="H73" i="11" s="1"/>
  <c r="G72" i="11"/>
  <c r="H72" i="11" s="1"/>
  <c r="G71" i="11"/>
  <c r="H71" i="11" s="1"/>
  <c r="G62" i="11"/>
  <c r="H62" i="11" s="1"/>
  <c r="G61" i="11"/>
  <c r="H61" i="11" s="1"/>
  <c r="G58" i="11"/>
  <c r="H58" i="11" s="1"/>
  <c r="G56" i="11"/>
  <c r="H56" i="11" s="1"/>
  <c r="G50" i="11"/>
  <c r="H50" i="11" s="1"/>
  <c r="H35" i="5"/>
  <c r="H20" i="5"/>
  <c r="G10" i="12"/>
  <c r="H10" i="12" s="1"/>
  <c r="G19" i="12"/>
  <c r="H19" i="12" s="1"/>
  <c r="G18" i="12"/>
  <c r="H18" i="12" s="1"/>
  <c r="G16" i="12"/>
  <c r="H16" i="12" s="1"/>
  <c r="G14" i="12"/>
  <c r="H14" i="12" s="1"/>
  <c r="G13" i="12"/>
  <c r="H13" i="12" s="1"/>
  <c r="G12" i="12"/>
  <c r="H12" i="12" s="1"/>
  <c r="G11" i="12"/>
  <c r="H11" i="12" s="1"/>
  <c r="G7" i="12"/>
  <c r="H7" i="12" s="1"/>
  <c r="G6" i="12"/>
  <c r="H6" i="12" s="1"/>
  <c r="D5" i="2"/>
  <c r="D10" i="2"/>
  <c r="D13" i="2"/>
  <c r="D16" i="2"/>
  <c r="D19" i="2"/>
  <c r="C5" i="2"/>
  <c r="C10" i="2"/>
  <c r="C13" i="2"/>
  <c r="C19" i="2"/>
  <c r="D60" i="11"/>
  <c r="D84" i="11"/>
  <c r="C164" i="2"/>
  <c r="D164" i="2"/>
  <c r="D32" i="5"/>
  <c r="T32" i="5" s="1"/>
  <c r="D40" i="5"/>
  <c r="C40" i="5"/>
  <c r="D21" i="5"/>
  <c r="C21" i="5"/>
  <c r="D35" i="2"/>
  <c r="C39" i="2"/>
  <c r="C34" i="2" s="1"/>
  <c r="D39" i="2"/>
  <c r="C52" i="2"/>
  <c r="C50" i="2" s="1"/>
  <c r="D52" i="2"/>
  <c r="D50" i="2" s="1"/>
  <c r="D68" i="2"/>
  <c r="C74" i="2"/>
  <c r="D74" i="2"/>
  <c r="C82" i="2"/>
  <c r="D82" i="2"/>
  <c r="C90" i="2"/>
  <c r="C104" i="2"/>
  <c r="D104" i="2"/>
  <c r="C109" i="2"/>
  <c r="D109" i="2"/>
  <c r="D114" i="2"/>
  <c r="C119" i="2"/>
  <c r="D119" i="2"/>
  <c r="C130" i="2"/>
  <c r="C129" i="2" s="1"/>
  <c r="D130" i="2"/>
  <c r="C140" i="2"/>
  <c r="C148" i="2"/>
  <c r="C146" i="2" s="1"/>
  <c r="D148" i="2"/>
  <c r="D146" i="2" s="1"/>
  <c r="C154" i="2"/>
  <c r="D154" i="2"/>
  <c r="D129" i="2" l="1"/>
  <c r="D9" i="12"/>
  <c r="C66" i="2"/>
  <c r="E129" i="2"/>
  <c r="E9" i="12"/>
  <c r="L172" i="2"/>
  <c r="M172" i="2" s="1"/>
  <c r="M4" i="12" s="1"/>
  <c r="K4" i="12"/>
  <c r="K5" i="12" s="1"/>
  <c r="F129" i="2"/>
  <c r="G129" i="2" s="1"/>
  <c r="H129" i="2" s="1"/>
  <c r="H162" i="2"/>
  <c r="G8" i="12"/>
  <c r="H8" i="12" s="1"/>
  <c r="F3" i="12"/>
  <c r="H57" i="2"/>
  <c r="D3" i="12"/>
  <c r="E3" i="12"/>
  <c r="T15" i="12"/>
  <c r="V5" i="12"/>
  <c r="W5" i="12" s="1"/>
  <c r="O57" i="11"/>
  <c r="O17" i="12"/>
  <c r="O20" i="12" s="1"/>
  <c r="J57" i="11"/>
  <c r="V32" i="5"/>
  <c r="W32" i="5" s="1"/>
  <c r="T29" i="5"/>
  <c r="C103" i="2"/>
  <c r="C58" i="2" s="1"/>
  <c r="Q144" i="2"/>
  <c r="R144" i="2" s="1"/>
  <c r="P153" i="2"/>
  <c r="L144" i="2"/>
  <c r="M144" i="2" s="1"/>
  <c r="G22" i="2"/>
  <c r="H22" i="2" s="1"/>
  <c r="P172" i="2"/>
  <c r="K145" i="2"/>
  <c r="K153" i="2" s="1"/>
  <c r="V145" i="2"/>
  <c r="W145" i="2" s="1"/>
  <c r="U153" i="2"/>
  <c r="Q145" i="2"/>
  <c r="R145" i="2" s="1"/>
  <c r="E4" i="2"/>
  <c r="E3" i="2" s="1"/>
  <c r="E163" i="2" s="1"/>
  <c r="G5" i="2"/>
  <c r="F4" i="2"/>
  <c r="D4" i="2"/>
  <c r="D3" i="2" s="1"/>
  <c r="D163" i="2" s="1"/>
  <c r="C4" i="2"/>
  <c r="C3" i="2" s="1"/>
  <c r="C163" i="2" s="1"/>
  <c r="G35" i="2"/>
  <c r="H35" i="2" s="1"/>
  <c r="G11" i="5"/>
  <c r="H11" i="5" s="1"/>
  <c r="G8" i="5"/>
  <c r="H8" i="5" s="1"/>
  <c r="G10" i="5"/>
  <c r="H10" i="5" s="1"/>
  <c r="G18" i="5"/>
  <c r="H18" i="5" s="1"/>
  <c r="C5" i="5"/>
  <c r="D5" i="5"/>
  <c r="G12" i="5"/>
  <c r="H12" i="5" s="1"/>
  <c r="D16" i="5"/>
  <c r="F5" i="5"/>
  <c r="G21" i="5"/>
  <c r="H21" i="5" s="1"/>
  <c r="F16" i="5"/>
  <c r="D59" i="11"/>
  <c r="G60" i="11"/>
  <c r="H60" i="11" s="1"/>
  <c r="D83" i="11"/>
  <c r="D82" i="11" s="1"/>
  <c r="C82" i="11"/>
  <c r="E59" i="11"/>
  <c r="G74" i="2"/>
  <c r="H74" i="2" s="1"/>
  <c r="G19" i="2"/>
  <c r="H19" i="2" s="1"/>
  <c r="F59" i="2"/>
  <c r="G104" i="2"/>
  <c r="H104" i="2" s="1"/>
  <c r="G130" i="2"/>
  <c r="H130" i="2" s="1"/>
  <c r="G84" i="11"/>
  <c r="H84" i="11" s="1"/>
  <c r="G40" i="5"/>
  <c r="H40" i="5" s="1"/>
  <c r="G17" i="5"/>
  <c r="H17" i="5" s="1"/>
  <c r="F82" i="11"/>
  <c r="E83" i="11"/>
  <c r="E82" i="11" s="1"/>
  <c r="F59" i="11"/>
  <c r="G70" i="11"/>
  <c r="H70" i="11" s="1"/>
  <c r="G7" i="5"/>
  <c r="H7" i="5" s="1"/>
  <c r="E16" i="5"/>
  <c r="G164" i="2"/>
  <c r="H164" i="2" s="1"/>
  <c r="D34" i="2"/>
  <c r="C33" i="2"/>
  <c r="C32" i="2" s="1"/>
  <c r="G16" i="2"/>
  <c r="H16" i="2" s="1"/>
  <c r="E103" i="2"/>
  <c r="D59" i="2"/>
  <c r="E59" i="2"/>
  <c r="E34" i="2"/>
  <c r="E33" i="2" s="1"/>
  <c r="G82" i="2"/>
  <c r="H82" i="2" s="1"/>
  <c r="F34" i="2"/>
  <c r="F33" i="2" s="1"/>
  <c r="E140" i="2"/>
  <c r="F140" i="2"/>
  <c r="D140" i="2"/>
  <c r="D103" i="2"/>
  <c r="G96" i="2"/>
  <c r="H96" i="2" s="1"/>
  <c r="G13" i="2"/>
  <c r="H13" i="2" s="1"/>
  <c r="G10" i="2"/>
  <c r="H10" i="2" s="1"/>
  <c r="G119" i="2"/>
  <c r="H119" i="2" s="1"/>
  <c r="G50" i="2"/>
  <c r="H50" i="2" s="1"/>
  <c r="D66" i="2"/>
  <c r="G90" i="2"/>
  <c r="H90" i="2" s="1"/>
  <c r="G39" i="2"/>
  <c r="H39" i="2" s="1"/>
  <c r="E66" i="2"/>
  <c r="G154" i="2"/>
  <c r="H154" i="2" s="1"/>
  <c r="G117" i="2"/>
  <c r="H117" i="2" s="1"/>
  <c r="G143" i="2"/>
  <c r="H143" i="2" s="1"/>
  <c r="G148" i="2"/>
  <c r="H148" i="2" s="1"/>
  <c r="F66" i="2"/>
  <c r="F103" i="2"/>
  <c r="G52" i="2"/>
  <c r="H52" i="2" s="1"/>
  <c r="G68" i="2"/>
  <c r="H68" i="2" s="1"/>
  <c r="G109" i="2"/>
  <c r="H109" i="2" s="1"/>
  <c r="F146" i="2"/>
  <c r="G146" i="2" s="1"/>
  <c r="H146" i="2" s="1"/>
  <c r="G142" i="2"/>
  <c r="H142" i="2" s="1"/>
  <c r="G115" i="2"/>
  <c r="H115" i="2" s="1"/>
  <c r="G141" i="2"/>
  <c r="H141" i="2" s="1"/>
  <c r="E36" i="5"/>
  <c r="E44" i="5" s="1"/>
  <c r="D36" i="5"/>
  <c r="D44" i="5" s="1"/>
  <c r="C36" i="5"/>
  <c r="C44" i="5" s="1"/>
  <c r="Q172" i="2" l="1"/>
  <c r="R172" i="2" s="1"/>
  <c r="R4" i="12" s="1"/>
  <c r="P4" i="12"/>
  <c r="P5" i="12" s="1"/>
  <c r="D33" i="2"/>
  <c r="D32" i="2" s="1"/>
  <c r="G59" i="2"/>
  <c r="G9" i="12"/>
  <c r="H9" i="12" s="1"/>
  <c r="L4" i="12"/>
  <c r="K15" i="12"/>
  <c r="L5" i="12"/>
  <c r="M5" i="12" s="1"/>
  <c r="H5" i="2"/>
  <c r="G3" i="12"/>
  <c r="H3" i="12" s="1"/>
  <c r="T17" i="12"/>
  <c r="V15" i="12"/>
  <c r="W15" i="12" s="1"/>
  <c r="Q57" i="11"/>
  <c r="R57" i="11" s="1"/>
  <c r="O55" i="11"/>
  <c r="J55" i="11"/>
  <c r="T27" i="5"/>
  <c r="V29" i="5"/>
  <c r="W29" i="5" s="1"/>
  <c r="D58" i="2"/>
  <c r="F58" i="2"/>
  <c r="E58" i="2"/>
  <c r="C144" i="2"/>
  <c r="C172" i="2" s="1"/>
  <c r="G4" i="2"/>
  <c r="H4" i="2" s="1"/>
  <c r="H59" i="2"/>
  <c r="L145" i="2"/>
  <c r="M145" i="2" s="1"/>
  <c r="U173" i="2"/>
  <c r="V173" i="2" s="1"/>
  <c r="W173" i="2" s="1"/>
  <c r="V153" i="2"/>
  <c r="W153" i="2" s="1"/>
  <c r="P173" i="2"/>
  <c r="Q173" i="2" s="1"/>
  <c r="R173" i="2" s="1"/>
  <c r="Q153" i="2"/>
  <c r="R153" i="2" s="1"/>
  <c r="K173" i="2"/>
  <c r="L173" i="2" s="1"/>
  <c r="M173" i="2" s="1"/>
  <c r="L153" i="2"/>
  <c r="M153" i="2" s="1"/>
  <c r="E19" i="5"/>
  <c r="C19" i="5"/>
  <c r="D19" i="5"/>
  <c r="F19" i="5"/>
  <c r="G16" i="5"/>
  <c r="H16" i="5" s="1"/>
  <c r="G6" i="5"/>
  <c r="H6" i="5" s="1"/>
  <c r="G103" i="2"/>
  <c r="H103" i="2" s="1"/>
  <c r="G140" i="2"/>
  <c r="H140" i="2" s="1"/>
  <c r="G5" i="5"/>
  <c r="H5" i="5" s="1"/>
  <c r="G59" i="11"/>
  <c r="H59" i="11" s="1"/>
  <c r="G83" i="11"/>
  <c r="H83" i="11" s="1"/>
  <c r="G82" i="11"/>
  <c r="G32" i="5"/>
  <c r="H32" i="5" s="1"/>
  <c r="G114" i="2"/>
  <c r="H114" i="2" s="1"/>
  <c r="F3" i="2"/>
  <c r="G3" i="2" s="1"/>
  <c r="H3" i="2" s="1"/>
  <c r="G34" i="2"/>
  <c r="H34" i="2" s="1"/>
  <c r="D29" i="5"/>
  <c r="D27" i="5" s="1"/>
  <c r="D34" i="5" s="1"/>
  <c r="G66" i="2"/>
  <c r="H66" i="2" s="1"/>
  <c r="G31" i="5"/>
  <c r="H31" i="5" s="1"/>
  <c r="E27" i="5"/>
  <c r="E34" i="5" s="1"/>
  <c r="G33" i="2"/>
  <c r="H33" i="2" s="1"/>
  <c r="C34" i="5"/>
  <c r="F36" i="5"/>
  <c r="G39" i="5"/>
  <c r="H39" i="5" s="1"/>
  <c r="F29" i="5"/>
  <c r="G30" i="5"/>
  <c r="H30" i="5" s="1"/>
  <c r="Q4" i="12" l="1"/>
  <c r="H82" i="11"/>
  <c r="C175" i="2"/>
  <c r="C174" i="2"/>
  <c r="P15" i="12"/>
  <c r="Q5" i="12"/>
  <c r="R5" i="12" s="1"/>
  <c r="D144" i="2"/>
  <c r="D172" i="2" s="1"/>
  <c r="K17" i="12"/>
  <c r="K20" i="12" s="1"/>
  <c r="K57" i="11" s="1"/>
  <c r="L15" i="12"/>
  <c r="D47" i="5"/>
  <c r="D46" i="11" s="1"/>
  <c r="D25" i="11" s="1"/>
  <c r="G58" i="2"/>
  <c r="H58" i="2" s="1"/>
  <c r="V17" i="12"/>
  <c r="W17" i="12" s="1"/>
  <c r="T20" i="12"/>
  <c r="O49" i="11"/>
  <c r="Q55" i="11"/>
  <c r="R55" i="11" s="1"/>
  <c r="J49" i="11"/>
  <c r="V27" i="5"/>
  <c r="W27" i="5" s="1"/>
  <c r="T34" i="5"/>
  <c r="E32" i="2"/>
  <c r="E144" i="2" s="1"/>
  <c r="E172" i="2" s="1"/>
  <c r="E4" i="12" s="1"/>
  <c r="E5" i="12" s="1"/>
  <c r="G19" i="5"/>
  <c r="H19" i="5" s="1"/>
  <c r="C47" i="5"/>
  <c r="E47" i="5"/>
  <c r="F163" i="2"/>
  <c r="G163" i="2" s="1"/>
  <c r="H163" i="2" s="1"/>
  <c r="C145" i="2"/>
  <c r="C153" i="2" s="1"/>
  <c r="C173" i="2" s="1"/>
  <c r="F32" i="2"/>
  <c r="F27" i="5"/>
  <c r="G29" i="5"/>
  <c r="H29" i="5" s="1"/>
  <c r="G36" i="5"/>
  <c r="H36" i="5" s="1"/>
  <c r="F44" i="5"/>
  <c r="K55" i="11" l="1"/>
  <c r="L57" i="11"/>
  <c r="M57" i="11" s="1"/>
  <c r="D4" i="12"/>
  <c r="D5" i="12" s="1"/>
  <c r="D15" i="12" s="1"/>
  <c r="D17" i="12" s="1"/>
  <c r="D20" i="12" s="1"/>
  <c r="D57" i="11" s="1"/>
  <c r="D55" i="11" s="1"/>
  <c r="D49" i="11" s="1"/>
  <c r="D175" i="2"/>
  <c r="D174" i="2"/>
  <c r="P17" i="12"/>
  <c r="P20" i="12" s="1"/>
  <c r="Q15" i="12"/>
  <c r="D145" i="2"/>
  <c r="D153" i="2" s="1"/>
  <c r="D173" i="2" s="1"/>
  <c r="L17" i="12"/>
  <c r="M15" i="12"/>
  <c r="D51" i="5"/>
  <c r="D47" i="11"/>
  <c r="E15" i="12"/>
  <c r="E46" i="11"/>
  <c r="E25" i="11" s="1"/>
  <c r="E51" i="5"/>
  <c r="G51" i="5" s="1"/>
  <c r="H51" i="5" s="1"/>
  <c r="T57" i="11"/>
  <c r="V20" i="12"/>
  <c r="W20" i="12" s="1"/>
  <c r="Q49" i="11"/>
  <c r="R49" i="11" s="1"/>
  <c r="O80" i="11"/>
  <c r="Q80" i="11" s="1"/>
  <c r="R80" i="11" s="1"/>
  <c r="J80" i="11"/>
  <c r="L3" i="5"/>
  <c r="M3" i="5" s="1"/>
  <c r="J47" i="5"/>
  <c r="J51" i="5" s="1"/>
  <c r="L51" i="5" s="1"/>
  <c r="M51" i="5" s="1"/>
  <c r="V34" i="5"/>
  <c r="W34" i="5" s="1"/>
  <c r="E145" i="2"/>
  <c r="E153" i="2" s="1"/>
  <c r="E173" i="2" s="1"/>
  <c r="G32" i="2"/>
  <c r="H32" i="2" s="1"/>
  <c r="G3" i="5"/>
  <c r="H3" i="5" s="1"/>
  <c r="F144" i="2"/>
  <c r="F145" i="2" s="1"/>
  <c r="G44" i="5"/>
  <c r="H44" i="5" s="1"/>
  <c r="G27" i="5"/>
  <c r="H27" i="5" s="1"/>
  <c r="F34" i="5"/>
  <c r="K49" i="11" l="1"/>
  <c r="L55" i="11"/>
  <c r="M55" i="11" s="1"/>
  <c r="D80" i="11"/>
  <c r="Q17" i="12"/>
  <c r="R15" i="12"/>
  <c r="L20" i="12"/>
  <c r="M20" i="12" s="1"/>
  <c r="M17" i="12"/>
  <c r="E17" i="12"/>
  <c r="E20" i="12" s="1"/>
  <c r="E57" i="11" s="1"/>
  <c r="G46" i="11"/>
  <c r="H46" i="11" s="1"/>
  <c r="V57" i="11"/>
  <c r="W57" i="11" s="1"/>
  <c r="T55" i="11"/>
  <c r="J46" i="11"/>
  <c r="L47" i="5"/>
  <c r="M47" i="5" s="1"/>
  <c r="F172" i="2"/>
  <c r="G144" i="2"/>
  <c r="H144" i="2" s="1"/>
  <c r="G145" i="2"/>
  <c r="H145" i="2" s="1"/>
  <c r="F153" i="2"/>
  <c r="F173" i="2" s="1"/>
  <c r="G34" i="5"/>
  <c r="H34" i="5" s="1"/>
  <c r="F47" i="5"/>
  <c r="K80" i="11" l="1"/>
  <c r="L80" i="11" s="1"/>
  <c r="M80" i="11" s="1"/>
  <c r="L49" i="11"/>
  <c r="M49" i="11" s="1"/>
  <c r="Q20" i="12"/>
  <c r="R20" i="12" s="1"/>
  <c r="R17" i="12"/>
  <c r="G172" i="2"/>
  <c r="H172" i="2" s="1"/>
  <c r="F4" i="12"/>
  <c r="F5" i="12" s="1"/>
  <c r="E55" i="11"/>
  <c r="L46" i="11"/>
  <c r="M46" i="11" s="1"/>
  <c r="J25" i="11"/>
  <c r="T49" i="11"/>
  <c r="V55" i="11"/>
  <c r="W55" i="11" s="1"/>
  <c r="Q3" i="5"/>
  <c r="R3" i="5" s="1"/>
  <c r="O47" i="5"/>
  <c r="G153" i="2"/>
  <c r="H153" i="2" s="1"/>
  <c r="G173" i="2"/>
  <c r="H173" i="2" s="1"/>
  <c r="G47" i="5"/>
  <c r="H47" i="5" s="1"/>
  <c r="J47" i="11" l="1"/>
  <c r="G4" i="12"/>
  <c r="H4" i="12" s="1"/>
  <c r="F15" i="12"/>
  <c r="G5" i="12"/>
  <c r="H5" i="12" s="1"/>
  <c r="E49" i="11"/>
  <c r="O46" i="11"/>
  <c r="O51" i="5"/>
  <c r="Q51" i="5" s="1"/>
  <c r="R51" i="5" s="1"/>
  <c r="T80" i="11"/>
  <c r="V80" i="11" s="1"/>
  <c r="W80" i="11" s="1"/>
  <c r="V49" i="11"/>
  <c r="W49" i="11" s="1"/>
  <c r="Q47" i="5"/>
  <c r="R47" i="5" s="1"/>
  <c r="O25" i="11" l="1"/>
  <c r="Q46" i="11"/>
  <c r="R46" i="11" s="1"/>
  <c r="F17" i="12"/>
  <c r="F20" i="12" s="1"/>
  <c r="F57" i="11" s="1"/>
  <c r="G15" i="12"/>
  <c r="E80" i="11"/>
  <c r="V3" i="5"/>
  <c r="W3" i="5" s="1"/>
  <c r="T47" i="5"/>
  <c r="T51" i="5" s="1"/>
  <c r="V51" i="5" s="1"/>
  <c r="W51" i="5" s="1"/>
  <c r="F55" i="11" l="1"/>
  <c r="G57" i="11"/>
  <c r="H57" i="11" s="1"/>
  <c r="G17" i="12"/>
  <c r="H15" i="12"/>
  <c r="V47" i="5"/>
  <c r="W47" i="5" s="1"/>
  <c r="T46" i="11"/>
  <c r="F49" i="11" l="1"/>
  <c r="G55" i="11"/>
  <c r="H55" i="11" s="1"/>
  <c r="H17" i="12"/>
  <c r="G20" i="12"/>
  <c r="H20" i="12" s="1"/>
  <c r="V46" i="11"/>
  <c r="W46" i="11" s="1"/>
  <c r="T25" i="11"/>
  <c r="F80" i="11" l="1"/>
  <c r="G49" i="11"/>
  <c r="T47" i="11"/>
  <c r="U47" i="11"/>
  <c r="O47" i="11"/>
  <c r="E47" i="11"/>
  <c r="H49" i="11" l="1"/>
  <c r="G80" i="11"/>
  <c r="H80" i="11" s="1"/>
  <c r="L25" i="11"/>
  <c r="M25" i="11" s="1"/>
  <c r="G25" i="11"/>
  <c r="V47" i="11"/>
  <c r="W47" i="11" s="1"/>
  <c r="K47" i="11"/>
  <c r="Q47" i="11"/>
  <c r="R47" i="11" s="1"/>
  <c r="Q25" i="11"/>
  <c r="R25" i="11" s="1"/>
  <c r="V25" i="11"/>
  <c r="W25" i="11" s="1"/>
  <c r="L47" i="11" l="1"/>
  <c r="M47" i="11" s="1"/>
  <c r="H25" i="11"/>
  <c r="H47" i="11" s="1"/>
  <c r="G47" i="11"/>
</calcChain>
</file>

<file path=xl/sharedStrings.xml><?xml version="1.0" encoding="utf-8"?>
<sst xmlns="http://schemas.openxmlformats.org/spreadsheetml/2006/main" count="530" uniqueCount="434">
  <si>
    <t>Kods</t>
  </si>
  <si>
    <t>A</t>
  </si>
  <si>
    <t>I   IEŅĒMUMI NO SAIMNIECISKĀS DARBĪBAS KOPĀ</t>
  </si>
  <si>
    <t>Valsts budžeta līdzekļi</t>
  </si>
  <si>
    <t>Saņemtās pacientu iemaksas (stacionāram)</t>
  </si>
  <si>
    <t>Saņemtās pacientu iemaksas (ambulatorai p.)</t>
  </si>
  <si>
    <t>Ziedojumi</t>
  </si>
  <si>
    <t>Pacienta līdzmaksājums par operāciju</t>
  </si>
  <si>
    <t>B</t>
  </si>
  <si>
    <t>1000</t>
  </si>
  <si>
    <t>ATLĪDZĪBA</t>
  </si>
  <si>
    <t>Atalgojums - kopā</t>
  </si>
  <si>
    <t>Mēneša amatalga</t>
  </si>
  <si>
    <t>Piemaksa par izdienu</t>
  </si>
  <si>
    <t>Piemaksa par personisko darba ieguldījumu un darba kvalitāti</t>
  </si>
  <si>
    <t>Piemaksa par papildu darbu</t>
  </si>
  <si>
    <t>Citas normatīvajos aktos noteiktās piemaksas, kas nav iepriekš klasificētas</t>
  </si>
  <si>
    <t>Atalgojums fiziskajām personām uz tiesiskās attiecības regulējošu dokumentu pamata</t>
  </si>
  <si>
    <t>Darba devēja piešķirtie labumi un maksājumi</t>
  </si>
  <si>
    <t>Darba devēja valsts sociālās apdrošināšanas obligātās iemaksas, sociāla rakstura pabalsti un kompensācijas</t>
  </si>
  <si>
    <t>Darba devēja sociāla rakstura pabalsti un kompensācijas, no kuriem aprēķina ienākuma nodokli un valsts sociālās apdrošināšanas obligātās iemaksas</t>
  </si>
  <si>
    <t>Studējošo kredītu dzēšana no piešķirtajiem budžeta līdzekļiem</t>
  </si>
  <si>
    <t>Mācību maksas kompensācija</t>
  </si>
  <si>
    <t>Darba devēja izdevumi veselības, dzīvības un nelaimes gadījumu apdrošināšanai</t>
  </si>
  <si>
    <t>PRECES UN PAKALPOJUMI</t>
  </si>
  <si>
    <t>Iekšzemes mācību, darba un dienesta komandējumi, dienesta, darba braucieni</t>
  </si>
  <si>
    <t>Ārvalstu mācību, darba un dienesta komandējumi, dienesta, darba braucieni</t>
  </si>
  <si>
    <t>Pakalpojumi</t>
  </si>
  <si>
    <t>Izdevumi par komunālajiem pakalpojumiem</t>
  </si>
  <si>
    <t>Izdevumi par elektroenerģiju</t>
  </si>
  <si>
    <t>Izdevumi par pārējiem komunālajiem pakalpojumiem</t>
  </si>
  <si>
    <t>Izdevumi par transporta pakalpojumiem</t>
  </si>
  <si>
    <t>Transportlīdzekļu uzturēšana un remonts</t>
  </si>
  <si>
    <t>Iekārtas, inventāra un aparatūras remonts, tehniskā apkalpošana</t>
  </si>
  <si>
    <t>Apdrošināšanas izdevumi</t>
  </si>
  <si>
    <t>Pārējie remontdarbu un iestāžu uzturēšanas pakalpojumi</t>
  </si>
  <si>
    <t>Informācijas tehnoloģiju pakalpojumi</t>
  </si>
  <si>
    <t>Īre un noma</t>
  </si>
  <si>
    <t>Ēku, telpu īre un noma</t>
  </si>
  <si>
    <t>Transportlīdzekļu noma</t>
  </si>
  <si>
    <t>Zemes noma</t>
  </si>
  <si>
    <t>Pārējā noma</t>
  </si>
  <si>
    <t>Izdevumi par tiesvedības darbiem</t>
  </si>
  <si>
    <t>Maksa par zinātniskās pētniecības darbu izpildi</t>
  </si>
  <si>
    <t>Krājumi, materiāli, energoresursi, preces, biroja preces un inventārs, kurus neuzskaita kodā 5000</t>
  </si>
  <si>
    <t>Biroja preces</t>
  </si>
  <si>
    <t>Inventārs</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</si>
  <si>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</si>
  <si>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</si>
  <si>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</si>
  <si>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</si>
  <si>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</si>
  <si>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</si>
  <si>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</si>
  <si>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Mīkstais inventārs</t>
  </si>
  <si>
    <t>Virtuves inventārs, trauki un galda piederumi</t>
  </si>
  <si>
    <t>Ēdināšanas izdevumi</t>
  </si>
  <si>
    <t>Apdrošināšanas izdevumi veselības, dzīvības un nelaimes gadījumu apdrošināšanai</t>
  </si>
  <si>
    <t>Mācību līdzekļi un materiāli</t>
  </si>
  <si>
    <t>Specifiskie materiāli un inventārs</t>
  </si>
  <si>
    <t>Pārējās preces</t>
  </si>
  <si>
    <t>Pievienotās vērtības nodokļa maksājumi</t>
  </si>
  <si>
    <t>Iedzīvotāju ienākuma nodoklis (no maksātnespējīgā darba devēja darbinieku prasījumu summām)</t>
  </si>
  <si>
    <t>Dabas resursu nodokļa maksājumi</t>
  </si>
  <si>
    <t>Uzņēmējdarbības riska valsts nodeva</t>
  </si>
  <si>
    <t>Pārējie pārskaitītie nodokļi un nodevas</t>
  </si>
  <si>
    <t>PROCENTU IZDEVUMI</t>
  </si>
  <si>
    <t>Procentu maksājumi ārvalstu un starptautiskajām finanšu institūcijām</t>
  </si>
  <si>
    <t>Procentu maksājumi iekšzemes kredītiestādēm</t>
  </si>
  <si>
    <t>Pārējie procentu maksājumi</t>
  </si>
  <si>
    <t>C</t>
  </si>
  <si>
    <t>KOPĀ IZDEVUMI</t>
  </si>
  <si>
    <t>D</t>
  </si>
  <si>
    <t>Pamatlīdzekļu nolietojums</t>
  </si>
  <si>
    <t>Pamatlīdzekļu nolietojums (bez administrācijas un ēdināšanas izmaksām)</t>
  </si>
  <si>
    <t>Administratīvās daļas pamatlīdzekļu nolietojums</t>
  </si>
  <si>
    <t>Pamatlīdzekļu nolietojums, kas saistīts ar ēdināšanas nodrošināšanu</t>
  </si>
  <si>
    <t>E</t>
  </si>
  <si>
    <t>III  PĀRĒJIE IEŅĒMUMI</t>
  </si>
  <si>
    <t>Depozītnoguldījumi</t>
  </si>
  <si>
    <t>Saņemtās soda naudas</t>
  </si>
  <si>
    <t>Atmaksātās mācību maksas</t>
  </si>
  <si>
    <t xml:space="preserve">Ieņēmumi no pamatlīdzekļu izslēgšanas </t>
  </si>
  <si>
    <t>Ieņēmumuos ieskaitītās pārvērtēšanas rezerves samazinājums</t>
  </si>
  <si>
    <t>Citi ieņēmumi</t>
  </si>
  <si>
    <t>F</t>
  </si>
  <si>
    <t>III IEŅĒMUMI PAVISAM (I+III)</t>
  </si>
  <si>
    <t>IV  PĀRĒJIE IZDEVUMI</t>
  </si>
  <si>
    <t>Citi izdevumi</t>
  </si>
  <si>
    <t>Norakstīto pamatlīdzekļu atlikusī vērtība</t>
  </si>
  <si>
    <t>Izdevumi no valūtas konvertācijas</t>
  </si>
  <si>
    <t>G</t>
  </si>
  <si>
    <t>IV IZDEVUMI   PAVISAM (II + IV)</t>
  </si>
  <si>
    <t xml:space="preserve"> V PEĻŅA  VAI  ZAUDĒJUMI</t>
  </si>
  <si>
    <t>0010</t>
  </si>
  <si>
    <t>00110</t>
  </si>
  <si>
    <t>Valsts apmaksātie veselības aprūpes pakalpojumi</t>
  </si>
  <si>
    <t>00111</t>
  </si>
  <si>
    <t>00112</t>
  </si>
  <si>
    <t>00113</t>
  </si>
  <si>
    <t>00114</t>
  </si>
  <si>
    <t>00120</t>
  </si>
  <si>
    <t>Valsts apmaksātie sociālie pakalpojumi</t>
  </si>
  <si>
    <t>00121</t>
  </si>
  <si>
    <t>Sociālās aprūpes pakalpojumi</t>
  </si>
  <si>
    <t>00122</t>
  </si>
  <si>
    <t>Sociālās rehabilitācijas pakalpojumi</t>
  </si>
  <si>
    <t>00130</t>
  </si>
  <si>
    <t>Ieņēmumi par izglītojošo in zinātnisko darbību</t>
  </si>
  <si>
    <t>00131</t>
  </si>
  <si>
    <t>Ieņēmumi par rezidentu apmācību</t>
  </si>
  <si>
    <t>00132</t>
  </si>
  <si>
    <t>00140</t>
  </si>
  <si>
    <t>00141</t>
  </si>
  <si>
    <t>00142</t>
  </si>
  <si>
    <t>0020</t>
  </si>
  <si>
    <t>0030</t>
  </si>
  <si>
    <t>00313</t>
  </si>
  <si>
    <t>Piemaksa par nakts darbu</t>
  </si>
  <si>
    <t>Finansējums valsts galvotā aizdevuma saistību atmaksas nodrošināšanai</t>
  </si>
  <si>
    <t>0040</t>
  </si>
  <si>
    <t>0050</t>
  </si>
  <si>
    <t>0060</t>
  </si>
  <si>
    <t>0070</t>
  </si>
  <si>
    <t>0080</t>
  </si>
  <si>
    <t>Piemaksas, prēmijas un naudas balvas</t>
  </si>
  <si>
    <t>Piemaksa par darbu īpašos apstākļos, speciālās piemaksas</t>
  </si>
  <si>
    <t>Prēmijas un naudas balvas</t>
  </si>
  <si>
    <t>Mācību, darba un dienesta komandējumi, darba braucieni</t>
  </si>
  <si>
    <t>Izdevumi par atkritumu savākšanu, izvešanu no apdzīvotām vietām un teritorijām ārpus apdzīvotām vietām un atkritumu utilizāciju</t>
  </si>
  <si>
    <t>Remontdarbi un iestāžu uzturēšanas pakalpojumi (izņemot kapitālo remontu)</t>
  </si>
  <si>
    <t xml:space="preserve">Nekustamā īpašuma uzturēšana </t>
  </si>
  <si>
    <t>Iekārtu, aparatūras un inventāra īre un noma</t>
  </si>
  <si>
    <t>Izdevumi juridiskās palīdzības sniedzējiem un zvērinātiem tiesu izpildītājiem</t>
  </si>
  <si>
    <t>Pārējie valsts un pašvaldību aprūpē un apgādē esošo personu uzturēšanas izdevumi, kuri nav minēti citos koda 2360 apakškodos</t>
  </si>
  <si>
    <t>Valsts sociālās apdrošināšanas  obligātās iemaksas (no maksātnespējīga darba devēja darbinieku prasījumu summām)</t>
  </si>
  <si>
    <t>0100</t>
  </si>
  <si>
    <t>0110</t>
  </si>
  <si>
    <t>0120</t>
  </si>
  <si>
    <t>0130</t>
  </si>
  <si>
    <t>0140</t>
  </si>
  <si>
    <t>0150</t>
  </si>
  <si>
    <t>0170</t>
  </si>
  <si>
    <t>0180</t>
  </si>
  <si>
    <t>0190</t>
  </si>
  <si>
    <t>Zaudējumi no valūtas kursa svārstībām</t>
  </si>
  <si>
    <t>Izdevumi debitoru parādu norakstīšanai un uzkrājumu veidošanai</t>
  </si>
  <si>
    <t>Pārējie iepriekš neuzskaitītie budžeta izdevumi, kas veidojas pēc uzkrāšanas principa un nav uzskaitīti citos koda 8000 apakškodos</t>
  </si>
  <si>
    <t>I</t>
  </si>
  <si>
    <t>Naudas līdzekļu atlikums perioda sākumā</t>
  </si>
  <si>
    <t>Pamatdarbības naudas plūsma</t>
  </si>
  <si>
    <t>Saimnieciskās darbības ieņēmumi</t>
  </si>
  <si>
    <t>Valsts līdzekļi pamatdarbībai kopā</t>
  </si>
  <si>
    <t>Uzņēmuma nopelnītie līdzekļi</t>
  </si>
  <si>
    <t>Saimnieciskās darbības izdevumi</t>
  </si>
  <si>
    <t>Sniegto pakalpojumu izdevumi</t>
  </si>
  <si>
    <t>Pārējie uzņēmuma saimnieciskās darbības izdevumi</t>
  </si>
  <si>
    <t>Pamatdarbības neto naudas plūsma (11 000-12 000)</t>
  </si>
  <si>
    <t>J</t>
  </si>
  <si>
    <t>Ieguldījumu darbības naudas plūsma</t>
  </si>
  <si>
    <t>Ieņēmumi no pamatlīdzekļu un nemateriālo ieguldījumu pārdošanas</t>
  </si>
  <si>
    <t>Izsniegtie aizdevumi</t>
  </si>
  <si>
    <t>Ieņēmumi no aizdevumu atmaksas</t>
  </si>
  <si>
    <t>K</t>
  </si>
  <si>
    <t>Finansēšanas darbības naudas plūsma</t>
  </si>
  <si>
    <t>Saņemtās subsīdijas, dotācijas, dāvinājumi vai ziedojumi</t>
  </si>
  <si>
    <t>Ieņēmumi no akciju un obligāciju emisijas vai kapitāla līdzdalības daļu ieguldījumiem</t>
  </si>
  <si>
    <t>Izdevumi nomāta pamatlīdzekļa izpirkumam</t>
  </si>
  <si>
    <t>Izmaksātās dividendes</t>
  </si>
  <si>
    <t>Ārvalstu valūtu kursu svārstību rezultāts</t>
  </si>
  <si>
    <t>Klientu uzdevumā veiktā naudas saņemšana un izmaksāšana</t>
  </si>
  <si>
    <t>Naudas līdzekļu atlikums perioda beigās</t>
  </si>
  <si>
    <t>Valsts galvotais aizdevums</t>
  </si>
  <si>
    <t>ES fondu projektu līdzfinansējums</t>
  </si>
  <si>
    <t>Citu ārvalstu projektu līdzfinansējums</t>
  </si>
  <si>
    <t>Pašu līdzekļi</t>
  </si>
  <si>
    <t>Budžeta līdzekļi</t>
  </si>
  <si>
    <t>Pacientu personīgie līdzekļi</t>
  </si>
  <si>
    <t>Citi finanšu līdzekļi</t>
  </si>
  <si>
    <t>00311</t>
  </si>
  <si>
    <t>00312</t>
  </si>
  <si>
    <t>Saņemtās pacientu iemaksas (ambulatorai palīdzībai)</t>
  </si>
  <si>
    <t>L</t>
  </si>
  <si>
    <t>Radniecīgo sabiedrību, asociēto sabiedrību vai citu sabiedrību akciju vai daļu iegāde</t>
  </si>
  <si>
    <t>Ieņēmumi no radniecīgo sabiedrību, asociēto sabiedrību vai citu sabiedrību akciju vai daļu atsavināšanas</t>
  </si>
  <si>
    <t>Kustamais īpašums</t>
  </si>
  <si>
    <t>Nekustamais īpašums</t>
  </si>
  <si>
    <t>Intelektuālais īpašums</t>
  </si>
  <si>
    <t>Ieguldīšanas darbības ieņēmumi</t>
  </si>
  <si>
    <t>Saņemtie procenti</t>
  </si>
  <si>
    <t>Saņemtās dividendes</t>
  </si>
  <si>
    <t>Ieguldīšanas darbības izdevumi</t>
  </si>
  <si>
    <t>Saņemtie aizņēmumi</t>
  </si>
  <si>
    <t>Finansēšanas darbības ieņēmumi</t>
  </si>
  <si>
    <t>Finansēšanas darbības izdevumi</t>
  </si>
  <si>
    <t>Izdevumi aizņēmumu atmaksāšanai</t>
  </si>
  <si>
    <t>Finansēšanas darbības naudas neto plūsma (17 000-18 000)</t>
  </si>
  <si>
    <t>Ieguldīšanas darbības neto naudas plūsma  (14000-15 000)</t>
  </si>
  <si>
    <t>Mēneša amatalga valdei</t>
  </si>
  <si>
    <t>Mēneša amatalga pārējiem darbiniekiem</t>
  </si>
  <si>
    <t>Darba devēja pabalsti un kompensācijas, no kā neaprēķina iedzīvotāju ienākuma nodokli un valsts sociālās apdrošināšanas obligātās iemaksas</t>
  </si>
  <si>
    <t>II  IZDEVUMI SAIMNIECISKĀS DARBĪBAS NODROŠINĀŠANAI KOPĀ</t>
  </si>
  <si>
    <t>PEĻŅA PIRMS AMORTIZĀCIJAS UN PĀRĒJIEM IEŅĒMUMIEM</t>
  </si>
  <si>
    <t>PEĻŅA PIRMS PĀRĒJIEM IEŅĒMUMIEM, IZDEVUMIEM UN ĀRKĀRTAS IEŅĒMUMIEM</t>
  </si>
  <si>
    <t>Ieņēmumi no pārdotiem materiāliem un pamatlīdzekļiem</t>
  </si>
  <si>
    <t>Uzkrājums atvaļinājumu rezervēm,piem., uzņēmuma vadītājiem par pārskata gadu</t>
  </si>
  <si>
    <t>Ieņēmumos ieskaitītās dotācijas, dāvinājumi atbilstoši dāvināto pamatlīdzekļu nolietojumam par pārskata periodu</t>
  </si>
  <si>
    <t>Asins iegāde</t>
  </si>
  <si>
    <t>Medicīnas preces un instrumenti, laboratorijas dzīvnieki un to uzturēšana</t>
  </si>
  <si>
    <t>Pašu kapitāls</t>
  </si>
  <si>
    <t>Pamatkapitāls</t>
  </si>
  <si>
    <t>Nesadalītā peļņa:</t>
  </si>
  <si>
    <t>Uzkrājumi</t>
  </si>
  <si>
    <t>Kreditori</t>
  </si>
  <si>
    <t>Ilgtermiņa kreditori</t>
  </si>
  <si>
    <t>Aizņēmumi no kredītiestādēm</t>
  </si>
  <si>
    <t>Citi aizņēmumi</t>
  </si>
  <si>
    <t>Nākamo periodu ieņēmumi</t>
  </si>
  <si>
    <t>Īstermiņa kreditori</t>
  </si>
  <si>
    <t>No pircējiem saņemtie avansi</t>
  </si>
  <si>
    <t>Parādi piegādātājiem un darbuzņēmējiem</t>
  </si>
  <si>
    <t>Pārējie kreditori</t>
  </si>
  <si>
    <t>Uzkrātās saistības</t>
  </si>
  <si>
    <t>Ilgtermiņa ieguldījumi</t>
  </si>
  <si>
    <t>Nemateriālie ieguldījumi</t>
  </si>
  <si>
    <t>Pamatlīdzekļi</t>
  </si>
  <si>
    <t>Avansa maksājumi par pamatlīdzekļiem</t>
  </si>
  <si>
    <t>Ilgtermiņa finanšu ieguldījumi</t>
  </si>
  <si>
    <t>Apgrozāmie līdzekļi</t>
  </si>
  <si>
    <t>Krājumi</t>
  </si>
  <si>
    <t>Uzkrātie ieņēmumi</t>
  </si>
  <si>
    <t xml:space="preserve">Ilgtermiņa kredītsaistības kopā </t>
  </si>
  <si>
    <t xml:space="preserve">Īstermiņa kredītsaistības kopā </t>
  </si>
  <si>
    <t>Veselības aprūpes pakalpojumiem</t>
  </si>
  <si>
    <t>Sociāliem pakalpojumiem</t>
  </si>
  <si>
    <t>Izdevumi par sakaru pakalpojumiem</t>
  </si>
  <si>
    <t>Izdevumi par siltumenerģiju</t>
  </si>
  <si>
    <t>Izdevumi iestādes sabiedrisko aktivitāšu īstenošanai</t>
  </si>
  <si>
    <t>Izdevumi par profesionālās darbības pakalpojumiem</t>
  </si>
  <si>
    <t>Izdevumi par saņemtajiem mācību pakalpojumiem</t>
  </si>
  <si>
    <t>Maksājumu pakalpojumi un komisijas</t>
  </si>
  <si>
    <t>Pārējie neklasificētie pakalpojumi</t>
  </si>
  <si>
    <t>Ēku, būvju un telpu būvdarbi</t>
  </si>
  <si>
    <t>Pārējie pakalpojumi</t>
  </si>
  <si>
    <t>Ar brīvprātīgā darba veikšanu saistītie izdevumi</t>
  </si>
  <si>
    <t>Izdevumi par dažādām precēm un inventāru</t>
  </si>
  <si>
    <t>Darba aizsardzības līdzekļi</t>
  </si>
  <si>
    <t>Izdevumi par precēm iestādes sabiedrisko aktivitāšu īstenošanai</t>
  </si>
  <si>
    <t>Iestāžu uzturēšanas materiāli un preces</t>
  </si>
  <si>
    <t>Valsts un pašvaldību aprūpē, apgādē un dienestā (amatā) esošo personu uzturēšana</t>
  </si>
  <si>
    <t>Formas tērpi un speciālais apģērbs</t>
  </si>
  <si>
    <t>Nodokļu, nodevu un sankciju maksājumi</t>
  </si>
  <si>
    <t>Nodokļu un nodevu maksājumi</t>
  </si>
  <si>
    <t>Nekustamā īpašuma nodokļa maksājumi</t>
  </si>
  <si>
    <t>Maksājumi par budžeta iestādēm piemērotajām sankcijām</t>
  </si>
  <si>
    <t>Nemateriālo ieguldījumu nolietojums</t>
  </si>
  <si>
    <t>Neto apgrozījums</t>
  </si>
  <si>
    <t>Bruto peļņa vai zaudējumi (no apgrozījuma)</t>
  </si>
  <si>
    <t>Pārdošanas izmaksas</t>
  </si>
  <si>
    <t>Administrācijas izmaksas</t>
  </si>
  <si>
    <t xml:space="preserve">Pārējie saimnieciskās darbības ieņēmumi </t>
  </si>
  <si>
    <t>Pārējie saimnieciskās darbības izmaksas</t>
  </si>
  <si>
    <t>Ieņēmumi no vērtspapīriem un aizdevumiem, kas veidojuši ilgtermiņa aizdevumus</t>
  </si>
  <si>
    <t>Pārējie procentu ieņēmumi un tamlīdzīgi ieņēmumi</t>
  </si>
  <si>
    <t>Procentu maksājumi un tamlīdzīgas izmaksas</t>
  </si>
  <si>
    <t>Nr.p.k.</t>
  </si>
  <si>
    <t>Novirze no n. gada pārskata perioda plāna, euro</t>
  </si>
  <si>
    <t>Novirze no n. gada pārskata perioda plāna, %</t>
  </si>
  <si>
    <t>Ieņēmumi no pašvaldības budžeta</t>
  </si>
  <si>
    <t>0021</t>
  </si>
  <si>
    <t>0022</t>
  </si>
  <si>
    <t>Pārdotās produkcijas ražošanas pašizmaksa, pārdoto preču vai sniegto pakalpojumu iegādes izmaksas</t>
  </si>
  <si>
    <t>Citi ieņēmumi (Ieņēmumi no bez atlīdzības saņemtajām precēm u.tml.)</t>
  </si>
  <si>
    <t>Rezerves</t>
  </si>
  <si>
    <t>Iepriekšējo gadu nesadalītā peļņa vai nesegtie zaudējumi</t>
  </si>
  <si>
    <t>Pārskata gada peļņa vai zaudējumi</t>
  </si>
  <si>
    <t>Nodokļi un valsts sociālās apdrošināšanas obligātās iemaksas</t>
  </si>
  <si>
    <t>Neizmaksātās dividendes</t>
  </si>
  <si>
    <t>Attīstības izmaksas</t>
  </si>
  <si>
    <t>Koncesijas, patenti, licences, preču zīmes un tamlīdzīgas tiesības</t>
  </si>
  <si>
    <t>Citi nemateriālie ieguldījumi</t>
  </si>
  <si>
    <t>Nemateriālā vērtība</t>
  </si>
  <si>
    <t>Avansa maksājumi par nemateriālajiem ieguldījumiem</t>
  </si>
  <si>
    <t>Ilgtermiņa ieguldījumi nomātajos pamatlīdzekļos</t>
  </si>
  <si>
    <t>Izejvielas, pamatmateriāli un palīgmateriāl</t>
  </si>
  <si>
    <t>Nepabeigtie ražojumi un pasūtījumi</t>
  </si>
  <si>
    <t>Īstermiņa finanšu ieguldījumi</t>
  </si>
  <si>
    <t>Pamatlīdzekļu un nemateriālo ieguldījumu iegāde kopā</t>
  </si>
  <si>
    <t>Izpilde periodā no n. gada sākuma līdz IV ceturkšņa beigām</t>
  </si>
  <si>
    <t xml:space="preserve">Ieņēmumi no līdzdalības </t>
  </si>
  <si>
    <t>Ilgtermiņa un īstermiņa finanšu ieguldījumu vērtības samazinājuma korekcijas</t>
  </si>
  <si>
    <t>Peļņa vai zaudējumi pirms uzņēmumu ienākuma nodokļa</t>
  </si>
  <si>
    <t>Uzņēmumu ienākuma nodoklis par pārskata gadu</t>
  </si>
  <si>
    <t xml:space="preserve">Peļņa vai zaudējumi pēc uzņēmumu ienākuma nodokļa aprēķināšanas </t>
  </si>
  <si>
    <t>Ieņēmumi vai izmaksas no atliktā nodokļa aktīvu vai saistību atlikumu izmaiņām</t>
  </si>
  <si>
    <t>Ārkārtas dividendes</t>
  </si>
  <si>
    <t xml:space="preserve">Pārskata perioda peļņa vai zaudējumi </t>
  </si>
  <si>
    <t>Norādījumi veidlapas aizpildīšanai:</t>
  </si>
  <si>
    <r>
      <t>Skaidrojumi</t>
    </r>
    <r>
      <rPr>
        <vertAlign val="superscript"/>
        <sz val="12"/>
        <rFont val="Times New Roman"/>
        <family val="1"/>
      </rPr>
      <t>2</t>
    </r>
  </si>
  <si>
    <r>
      <rPr>
        <vertAlign val="superscript"/>
        <sz val="12"/>
        <rFont val="Times New Roman"/>
        <family val="1"/>
      </rPr>
      <t>3</t>
    </r>
    <r>
      <rPr>
        <sz val="12"/>
        <rFont val="Times New Roman"/>
        <family val="1"/>
      </rPr>
      <t xml:space="preserve"> t.sk.asins sagatavošanas nodaļas pakalpojumiem, pakalpojumi maznodrošinātajiem utt.</t>
    </r>
  </si>
  <si>
    <r>
      <rPr>
        <vertAlign val="superscript"/>
        <sz val="12"/>
        <rFont val="Times New Roman"/>
        <family val="1"/>
      </rPr>
      <t>4</t>
    </r>
    <r>
      <rPr>
        <sz val="12"/>
        <rFont val="Times New Roman"/>
        <family val="1"/>
      </rPr>
      <t xml:space="preserve"> piem., Černobiļas apliecības izsniegšana, tehnisko palīglīdzekļu centra funkciju nodrošināšana</t>
    </r>
  </si>
  <si>
    <t>Samaksa par virsstundu darbu un darbu svētku dienās</t>
  </si>
  <si>
    <t>Izdevumi par ūdeni un kanalizāciju</t>
  </si>
  <si>
    <t>Iestādes administratīvie izdevumi un ar iestādes darbības nodrošināšanu
 saistītie izdevumi</t>
  </si>
  <si>
    <t>Normatīvajos aktos noteiktie veselības un fiziskās sagatavotības pārbaudes izdevumi</t>
  </si>
  <si>
    <t>Izdevumi, kas saistīti ar operatīvo darbību</t>
  </si>
  <si>
    <t>Maksājumi par parāda apkalpošanu un komisijas maksas par izmantotajiem atvasinātajiem finanšu instrumentiem</t>
  </si>
  <si>
    <t>Ieņēmumi par izglītojošo un zinātnisko darbību</t>
  </si>
  <si>
    <t xml:space="preserve">Ieņēmumi par valsts finansēto zinātnisko darbību </t>
  </si>
  <si>
    <t>00314</t>
  </si>
  <si>
    <t>Darba devēja valsts sociālās apdrošināšanas obligātās iemaksas</t>
  </si>
  <si>
    <t>Darba devēja pabalsti, kompensācijas un citi maksājumi</t>
  </si>
  <si>
    <t>Pacientu iemaksas par atbrīvotajām kategorijām (ambulatorai p.)</t>
  </si>
  <si>
    <t>Ambulatorai palīdzībai</t>
  </si>
  <si>
    <t>Pacientu iemaksas par atbrīvotajām kategorijām (stacionāram)</t>
  </si>
  <si>
    <t xml:space="preserve">Stacionārai palīdzībai </t>
  </si>
  <si>
    <r>
      <t>Citi ieņēmumi (piem.reģistru uztur., retajiem medikam. utt.)</t>
    </r>
    <r>
      <rPr>
        <vertAlign val="superscript"/>
        <sz val="12"/>
        <rFont val="Times New Roman"/>
        <family val="1"/>
      </rPr>
      <t>3</t>
    </r>
  </si>
  <si>
    <r>
      <t>Valsts pārvaldes deleģēto uzdevumu veikšana</t>
    </r>
    <r>
      <rPr>
        <vertAlign val="superscript"/>
        <sz val="12"/>
        <rFont val="Times New Roman"/>
        <family val="1"/>
      </rPr>
      <t>4</t>
    </r>
  </si>
  <si>
    <t>Maksas veselības aprūpes pakalpojumi</t>
  </si>
  <si>
    <t>Maksas sociālie pakalpojumi</t>
  </si>
  <si>
    <t>Pārējie saimnieciskās darbības ieņēmumi</t>
  </si>
  <si>
    <t>Ieņēmumi no nomas</t>
  </si>
  <si>
    <t>Nolietojums</t>
  </si>
  <si>
    <r>
      <t>Skaidrojumi</t>
    </r>
    <r>
      <rPr>
        <vertAlign val="superscript"/>
        <sz val="12"/>
        <rFont val="Times New Roman"/>
        <family val="1"/>
      </rPr>
      <t>1</t>
    </r>
  </si>
  <si>
    <t>Nosaukums</t>
  </si>
  <si>
    <t>Bilances posteņa nosaukums</t>
  </si>
  <si>
    <r>
      <t>Nosaukums</t>
    </r>
    <r>
      <rPr>
        <vertAlign val="superscript"/>
        <sz val="12"/>
        <rFont val="Times New Roman"/>
        <family val="1"/>
      </rPr>
      <t>1</t>
    </r>
  </si>
  <si>
    <r>
      <rPr>
        <vertAlign val="superscript"/>
        <sz val="12"/>
        <rFont val="Times New Roman"/>
        <family val="1"/>
      </rPr>
      <t xml:space="preserve">1 </t>
    </r>
    <r>
      <rPr>
        <sz val="12"/>
        <rFont val="Times New Roman"/>
        <family val="1"/>
      </rPr>
      <t>detalizēti skaidrojumi par noviržu iemesliem periodā no n gada sākuma līdz pārskata ceturkšņa beigām gadījumos, ja novirze ir virs 15%.</t>
    </r>
  </si>
  <si>
    <r>
      <rPr>
        <vertAlign val="superscript"/>
        <sz val="12"/>
        <rFont val="Times New Roman"/>
        <family val="1"/>
      </rPr>
      <t xml:space="preserve">2 </t>
    </r>
    <r>
      <rPr>
        <sz val="12"/>
        <rFont val="Times New Roman"/>
        <family val="1"/>
      </rPr>
      <t xml:space="preserve">detalizēti skaidrojumi par faktisko budžeta  ieņēmumu un izdevumu noviržu iemesliem periodā no </t>
    </r>
    <r>
      <rPr>
        <i/>
        <sz val="12"/>
        <rFont val="Times New Roman"/>
        <family val="1"/>
      </rPr>
      <t>n</t>
    </r>
    <r>
      <rPr>
        <sz val="12"/>
        <rFont val="Times New Roman"/>
        <family val="1"/>
      </rPr>
      <t xml:space="preserve"> gada sākuma līdz pārskata ceturkšņa beigām  gadījumos, ja novirze faktisko budžeta ieņēmumu un izdevumu pozīcijās ir virs 15%.</t>
    </r>
  </si>
  <si>
    <r>
      <rPr>
        <vertAlign val="superscript"/>
        <sz val="12"/>
        <rFont val="Times New Roman"/>
        <family val="1"/>
      </rPr>
      <t>1</t>
    </r>
    <r>
      <rPr>
        <sz val="12"/>
        <rFont val="Times New Roman"/>
        <family val="1"/>
      </rPr>
      <t xml:space="preserve"> budžeta kodu klasifikācija sadaļā II " IZDEVUMI SAIMNIECISKĀS DARBĪBAS NODROŠINĀŠANAI KOPĀ" atbilst Ministru Kabineta noteikumiem Nr. 1031 "Noteikumi par budžetu izdevumu klasifikāciju atbilstoši ekonomiskajām kategorijām" un jāpiemēro šo MK noteikumu skaidrojumi atbilstošiem EKK</t>
    </r>
  </si>
  <si>
    <t>Mēneša amatalga padomei</t>
  </si>
  <si>
    <t>Dienas nauda</t>
  </si>
  <si>
    <t>Pārējie komandējumu un darba braucienu izdevumi</t>
  </si>
  <si>
    <t>Pakalpojumi, kurus budžeta iestādes apmaksā noteikto funkciju ietvaros, kas nav iestādes administratīvie izdevumi</t>
  </si>
  <si>
    <t xml:space="preserve">  skaidrojumi par novirzēm ir jāsniedz  sekojošiem budžeta ieņēmumu un izdevumu kodiem: 00110, 00120, 00130, 00140, 00150, 0020, 0030, 0040, 0050, 0060, 0070, 0080, 1110, 1140, 1150, 1170, 1210, 1220, 2110, 2120, 2210, 2220, 2230, 2240, 2250, 2260, 2270, 2280, 2310, 2320, 2330, 2341, 2343, 2344, 2350, 2360, 2370, 2380, 2390, 2510, 2520,2800, 4100, 4200, 4300, 5100, 5200, 0100, 8000.</t>
  </si>
  <si>
    <t>Nemateriālo ieguldījumu amortizācija un vērtības samazinājums</t>
  </si>
  <si>
    <t>Tehnoloģiskās iekārtas un mašīnas</t>
  </si>
  <si>
    <t>Zeme un būves</t>
  </si>
  <si>
    <t>Pārējie pamatlīdzekļi</t>
  </si>
  <si>
    <t>Pamatlīdzekļu izveidošana un nepabeigtā būvniecība</t>
  </si>
  <si>
    <t>Turējumā nodotie valsts un pašvaldību īpašumi</t>
  </si>
  <si>
    <t>Bioloģiskie un pazemes aktīvi</t>
  </si>
  <si>
    <t xml:space="preserve">	Pamatlīdzekļu uzkrātais nolietojums un vērtības samazinājums</t>
  </si>
  <si>
    <t>Ilgtermiņa prasības</t>
  </si>
  <si>
    <t>Ieguldījuma īpašumi</t>
  </si>
  <si>
    <t>Bioloģiskie aktīvi lauksaimnieciskajai darbībai</t>
  </si>
  <si>
    <t>Gatavie ražojumi, pasūtījumi un krājumi atsavināšanai</t>
  </si>
  <si>
    <t>Bioloģisko aktīvu produkti un krājumi to uzturēšanai</t>
  </si>
  <si>
    <t>Valsts materiālās rezerves</t>
  </si>
  <si>
    <t>Speciālais militārais inventārs un speciālā militārā inventāra izveidošana</t>
  </si>
  <si>
    <t xml:space="preserve">	Avansa maksājumi un vērtības samazinājums avansa maksājumiem par krājumiem</t>
  </si>
  <si>
    <t>Vērtības samazinājums krājumiem</t>
  </si>
  <si>
    <t xml:space="preserve">	Īstermiņa prasības</t>
  </si>
  <si>
    <t>Prasības pret pircējiem un pasūtītājiem</t>
  </si>
  <si>
    <t>Prasības par ārvalstu finanšu palīdzības un Eiropas Savienības politiku instrumentu finansētajiem projektiem (pasākumiem)</t>
  </si>
  <si>
    <t>Prasības par nodokļiem, nodevām un citiem maksājumiem budžetos</t>
  </si>
  <si>
    <t>Pārmaksātie nodokļi, nodevas un citi maksājumi budžetos</t>
  </si>
  <si>
    <t>Prasības pret personālu</t>
  </si>
  <si>
    <t>Pārējās prasības</t>
  </si>
  <si>
    <t>Nākamo periodu izdevumi un avansa maksājumi par pakalpojumiem un projektiem</t>
  </si>
  <si>
    <t>Naudas līdzekļi</t>
  </si>
  <si>
    <t>AKTĪVU KOPSUMMA (1000+2000)</t>
  </si>
  <si>
    <t>H</t>
  </si>
  <si>
    <t xml:space="preserve">	Finanšu instrumentu patiesās vērtības rezerve</t>
  </si>
  <si>
    <t xml:space="preserve">	Pārējās rezerves</t>
  </si>
  <si>
    <t>Ilgtermiņa ieguldījumu pārvērtēšanas rezerve.</t>
  </si>
  <si>
    <t>PASĪVU KOPSUMMA (3000+4000+5000)</t>
  </si>
  <si>
    <t>Kredītsaistības  (5100+5200)</t>
  </si>
  <si>
    <t>2022.gada izpilde</t>
  </si>
  <si>
    <t>2023.gada
 plāns</t>
  </si>
  <si>
    <t>Plāns periodam no 2023. gada sākuma līdz I ceturkšņa beigām</t>
  </si>
  <si>
    <t>Plāns periodam no 2023. gada sākuma līdz II ceturkšņa beigām</t>
  </si>
  <si>
    <t>Plāns periodam no 2023. gada sākuma līdz III ceturkšņa beigām</t>
  </si>
  <si>
    <t>Plāns periodam no 2023. gada sākuma līdz IV ceturkšņa beigām</t>
  </si>
  <si>
    <t>Izpilde periodā no 2023. gada sākuma līdz I ceturkšņa beigām</t>
  </si>
  <si>
    <t>Darbs svētku dienās faktiski apmaksāts vairāk kā plānots, jo bija nodarbinātas 50 slodzes, lai gan plānots 45 slodzes</t>
  </si>
  <si>
    <t>DNL A lapas 2023.gada pārskata periodā =5732.4 h, 2022.gadā 6779.5 h, plānots iepriekšējā gada vid.apjomā</t>
  </si>
  <si>
    <t>Pārskata periodā patērēta siltumenerģija par 232.8 Mwh mazāk kā plānots, iepirkuma cena martā samazināta no 113.9215 euro uz 110.025 euro/Mwh</t>
  </si>
  <si>
    <t>Papildus plānotajām mācībām notikuši kursi  par krišanas risku novērtēšanu un novēršanu veselības un sociālajā aprūpē (RSU Sarkanā Krusta medicīnas koledža) 2430 euro</t>
  </si>
  <si>
    <t>Pārskata periodā bija plānots pabeigt Balss izziņošanas sistēmas nomaiņu 4 korpusos (22000 euro), bet darbi faktiski tiks pabeigti otrajā pārskata periodā.</t>
  </si>
  <si>
    <t>Pārskata periodam nekorekts plāns</t>
  </si>
  <si>
    <t>Pārskata periodā samazināts periods paklāju nomai</t>
  </si>
  <si>
    <t>Pārskata periodā netika veikti plānotie inventāra iepirkumi</t>
  </si>
  <si>
    <t>Tika veikti pasākumi sagādes transporta izdevumu mazināšanai</t>
  </si>
  <si>
    <t>Ar 01.2023.rezidente pārtrauc akadēmisko atvaļinājumu un atsāk rezidentūru, līdz ar to pieaug naudas plūsma par rezidentūras nodrošināšanu no RSU</t>
  </si>
  <si>
    <t>Klientu uzdevumā pārskata periodā veiktas vairāk izmaksas kā saņemta pacientu personīgā nauda.</t>
  </si>
  <si>
    <t>Pārskata periodā nav noslēgts līgums par Saules paaneļu elektrostacijas izbūvi un nav veikts avansa maksājums</t>
  </si>
  <si>
    <t>NVD parāds par veselības aprūpes pakalpojumu sniegšanas no 253 875 euro gada sākumā pieaudzis līdz 464 590 euro pārskata perioda beigās</t>
  </si>
  <si>
    <r>
      <t>Skaidrojumi</t>
    </r>
    <r>
      <rPr>
        <vertAlign val="superscript"/>
        <sz val="12"/>
        <rFont val="Times New Roman"/>
        <family val="1"/>
        <charset val="186"/>
      </rPr>
      <t>2</t>
    </r>
  </si>
  <si>
    <t>Stacionārā palīdzība - pārskata perioda beigās NVD neapmaksātais apjoms 207 745.62 euro un 15 5823 euro pacientu iemaksa par atbrīvotajām kategorijām. Neizpilde par stacionārajiem pakalpojumiem, salīdzinot ar tehnisko budžeta plānu, veidojas no norēķina par rehabilitācijas pakalpojumiem psihiatrijas pacientiem - par veikto darbu pārskata mēnesī aprēķināto summu NVD iekļauj nākošajā mēnesī ( par 03.2023. faktiskie ieņēmumi iekļauti 04.2023. NVD rēķinā).  Pacientu iemaksa par atbrīvotajām kategorijām ambulatorajai palīdzībai, salīdzinot ar tehnisko  budžeta plānu, 1.cet. ir vairāk. Tas saistīts ar pacientu plūsmas palielināšanos gan ambulatorajā pieņemšanā psihiatrijā, gan dienas stacionāra apmeklējumu skaita pieaugumu - prognoze balstīta uz 2022.gada izpildi.</t>
  </si>
  <si>
    <t>Ja pārskata periodā NVD apmaksātu visu stacionāra sniegto veselības aprūpes pakalpojumu apjomu - 223 328.62 euro un tiktu veikts norēķins arī par sniegtajiem medicīniskās rehabilitācijas pakalpojumiem (aptuveni 30 tūkst.euro) 03.2023.,tad slimnīcai būtu peļņa, sasniedzot 20 tūkst.euro.</t>
  </si>
  <si>
    <t>Izpilde periodā no 2023. gada sākuma līdz II ceturkšņa beigām</t>
  </si>
  <si>
    <t>Novirze no 2023. gada pārskata perioda plāna, euro</t>
  </si>
  <si>
    <t>Novirze no 2023. gada pārskata perioda plāna, %</t>
  </si>
  <si>
    <t>Ar RSU pieaudzis debitoru parāds</t>
  </si>
  <si>
    <t>Skat.skaidrojumu  Ieguldījumu tāme sadaļā</t>
  </si>
  <si>
    <t>Atalgojuma īpatsvars, %</t>
  </si>
  <si>
    <t>VSAOI īpatsvars,%</t>
  </si>
  <si>
    <t>Pārējo ieņēmumu novirze saistīta ar budžeta plānā neparedzētām izmaiņām līgumā ar Valsts policiju un RPNC par  starpniecību ekspertīžu veikšanā un nosūtīšanu uz RPNC ķīmiski toksikoloģiskajām analīzēm. (pārskata periodā +4136.30 euro)</t>
  </si>
  <si>
    <t>Novirze daļēji saistīta ar budžeta plānā neparedzēto svētku dienu 29.05.2023. un virsstundām</t>
  </si>
  <si>
    <t>KK 2241 novirze no plānotā sakarā ar bruģa remonta nodošanu pēc pārskata perioda (07.2023.)</t>
  </si>
  <si>
    <t>Plānotā atjaunojamā inventāra apjoms piesardzības nolūkos nav iepirkts līdz informācijai par iespējamo finanšu stāvokļa uzlabošanos</t>
  </si>
  <si>
    <t>Daļa mīkstā inventāra tiks iepirkta citā pārskata periodā, bet daļu iespējams neiepirks, lai ierobežotu izdevumus</t>
  </si>
  <si>
    <t>Mazinot izdevumus, iepirkts ierobežots apjoms grāmatu un žurnālu</t>
  </si>
  <si>
    <t>Novirze saistīta ar atsevišķu stacionāro programmu neizpildi, piem, psihiatriskā palīdzība, t.sk. pēc tiesas lēmuma ( -31530.74 euro), piemaksa par rehabilitāciju psihiatriskā profila pacientiem (-61618.87 euro) un  atsevišķu programmu NVD neapmaksāto apjomu, piem. psihiatriskā palīdzība bērniem  +68039.73 euro, obligātā narkoloģiskā palīdzība bērniem pēc bāriņtiesas lēmuma +20734.20 euro.</t>
  </si>
  <si>
    <t>Izdevumi atalgojumam pārskata periodā pārsniedz plānoto apmēru ( +81 612 euro, +2.1%). Būtiska nozīme ir darbinieku  darba nespējai, kas tika ņemta vērā, sagatavojot 2023.gada budžeta plānu un samazinot prognozētos izdevumus atalgojumam, tomēr prognozes neizpildījās – pārskata periodā kopā tikai 18 730.78 h B lapas (2022.gadā –40559.75h; 2021.gadā –48 642.5 h; 2020.gadā -23 984 h).  Kā arī atsevišķu amatu vietu palielināšana, piemēram, sanitāri, funkcionālie speciālisti, psihologi.</t>
  </si>
  <si>
    <t>Pamatā saistīts ar darba algas fonda pārpildi. Skat. Skaidrojumu  Budžetu tāme.</t>
  </si>
  <si>
    <t>Ja no NVD saņemtu apmaksu par visu stacionārā sniegto pakalpojumu apjomu, kā arī pacientu iemaksu kompensāciju (kopā 96999.13 euro) un ārstēto pacientu skaits programmā "Psihiatriskā palīdzība, tai skaitā pēc tiesas lēmuma atbilstu plānotajam, tad pārskata perioda zaudējumi būtu tuvu plānotajam apmēram.</t>
  </si>
  <si>
    <t>Izpilde periodā no 2023. gada sākuma līdz III ceturkšņa beigām</t>
  </si>
  <si>
    <t>Salīdzinot ar plānoto, pieauguši ieņēmumi no ārstniecības maksas pakalpojumu sniegšanas ambulatori, kā arī ekspertīžu veikšanas uzņemšanas nodaļā ( kopā par 25 tūkst. euro vairāk kā 2022.salīdzin.periodā)</t>
  </si>
  <si>
    <t>Budžeta plāns neparedz UIN maksājumu (85 865 euro)</t>
  </si>
  <si>
    <t>Skat. Ieguldījuma tāme sadaļu</t>
  </si>
  <si>
    <t>Saņemts 10 000 euro ziedojums jauniešu mentālās veselības uzlabošanai</t>
  </si>
  <si>
    <t>Budžeta plāns neparedz dividenžu maksājumu no 2022.gada peļņas</t>
  </si>
  <si>
    <t>Naudas plūsmu būtiski ietekmē dalībnieku sapulces lēmums par dividenžu izmaksu no 2022.gada peļņas, kā arī tam saistošo UIN maksājums. Vairāku gadu finanšu līdzekļu uzkrājums no īstenotiem ES projektiem tika paredzēts slimnīcas turpmākajiem attīstības projektiem, tai skaitā zaļajiem (vides) projektiem. Šobrīd slimnīca pārskata investīciju plānu. Kopā dividendes un UIN samazina NP par 428 825 euro.</t>
  </si>
  <si>
    <t>Lai gan novirze no plānotā ir nebūtiska, tomēr nepieciešams skaidrojums, jo kopējo izpildi ietekmē vairāki faktori: slimnīcai uz 01.10.2023.neapmaksātais neatliekamās palīdzības apjoms ir 111 186.41 euro un 11 686 euro PIK, savukārt plānveida programmu neapgūtais apjoms ir 90 903 euro un bērnu psihiatrijā 109 859 euro. Papildus gada sākumā plānotajam, no 08.2023.saņemts finansējums pacientu ēdināšanas izdevumu pieauguma segšanai 21 362 euro apmērā.</t>
  </si>
  <si>
    <t>Pārējo ieņēmumu novirze saistīta ar budžeta plānā neparedzētām izmaiņām līgumā ar Valsts policiju un RPNC par  starpniecību ekspertīžu veikšanā un nosūtīšanu uz RPNC ķīmiski toksikoloģiskajām analīzēm. (pārskata periodā +8097 euro). Par 21 928 euro , salīdzinot ar 2022.gada pārskata periodu, pieauguši ieņēmumi no maksas ambulatoro pakalpojumu sniegšanas</t>
  </si>
  <si>
    <t>07.2023.saņemts mērķa ziedojums jauniešu mentālās veselības uzlabošanai 10 000 euro apmērā</t>
  </si>
  <si>
    <t>Izdevumi atalgojumam pārskata periodā pārsniedz plānoto apmēru ( +245 708 euro, +4.21%). Būtiska nozīme ir darbinieku  darba nespējai, kas tika ņemta vērā, sagatavojot 2023.gada budžeta plānu un samazinot plānoto atalgojuma fondu, bet pārskata periodā ir 30 824.83 h B DN lapas (2022.gadā –53 486.05h; 2021.gadā –62 104.5 h; 2020.gadā -36 276 h).  Kā arī atsevišķu amatu vietu palielināšana, piemēram, sanitāri, funkcionālie speciālisti, psihologi.</t>
  </si>
  <si>
    <t>Novirze  saistīta ar budžeta plānā neparedzēto svētku dienu 29.05.2023. un virsstundām.Kopējais apmaksāto virsstundu skaits ir 5006 h, tai skaitā par darbu maijā 191 virsstunda. Virsstundu darbs: māsu palīgi 1765 h, māsas 987.5 h, ārsti 176 h, pārējie 2077.5 h, t.sk. sanitāri 419 h un aprūpētāji 1196.75 h. Kopējās izmaksātās piemaksas (100%) apmērs par virsstundu darbu ir 29 545.91 euro. Virsstundas veidojušās darbinieku saslimstības dēļ un pieaugot darba intesivitātei pieaugušo psihiatrijas nodaļās, kā arī ISASRN.</t>
  </si>
  <si>
    <t>KK 2241 novirze no plānotā - bruģa nomaiņas pie uzņemšanas nodaļas izmaksas attiecinātas uz kapitālajiem ieguldījumiem ( 20 900 euro). KK 2244 -papildus liftu pārrunu ierīces uzstādīšana un programmēšana, vadības plates demontāža, montāža, programmēšana (5738 euro). KK 2249- pārskata periodā pieauguši veļas mazgāšanas izdevumi ( ~14 tūkst euro), kā arī ugunsdrošibas signalizācijas sistēmas remonta izdevumi- evakuācijas zīmju nomaiņa (kopējās izmaksas 16 533 euro)</t>
  </si>
  <si>
    <t>Pieaugušas izmaksas programmu licences nomai</t>
  </si>
  <si>
    <t>Neplānoti izdevumi saistīti ar dividenžu izmaksu no 2022.gada peļņas ( 343 060 euro) un tam atbilstošo UIN 85 765 euro.</t>
  </si>
  <si>
    <t>Kapitālsabiedrība, saskaņā ar VM vēstuli “Par zemes gabalu virzīšanu uz atsavināšanu”, no bilances izslēdza divus zemes gabalus, kuri nebija nepieciešami saimnieciskās darbības veikšanai :
- zemes vienība kadastra apzīmējums  09000080534, 0.3131 ha, uzskaites vērtība  22 635.04 euro;
- zemes vienība kadastra apzīmējums 09000080540, 0.3651 ha, uzskaites vērtība 19 543.15 euro.</t>
  </si>
  <si>
    <t xml:space="preserve">Novirze saistīta ar budžetā plānoto izdevumu  atlīdzībai neatbilstību faktiski aprēķinātajam apmēram. (Skat.Budžeta tāmi) </t>
  </si>
  <si>
    <t>Pārējo ieņēmumu pieauguma skaidrojums Budžeta tāmes sadaļā Uzņēmuma nopelnītie līdzekļi un Ziedojumi</t>
  </si>
  <si>
    <t>Pārējo izdevumu sastāvā iekļauts UIN un no bilances izslēgto zemes gabalu uzskaites vērtība, kas nebija paredzēts budžeta plānā</t>
  </si>
  <si>
    <t>Novirze saistīta ar UIN maksājumu, no bilances izslēgto zemes gabalu vērtību, kopā 127 943 euro. Ja kapitālsabiedrībai NVD būtu apmaksājis visu sniegto veselības aprūpes pakalpojumu apjomu (130 507 euro), tad būtu peļņa 138 324.</t>
  </si>
  <si>
    <t xml:space="preserve">Par 2060 euro samazinājies pārtikas produktu atlikums un par 16 019 euro medikamentu atlikums noliktavā,kā arī par 845 euro saimniecības preču krājumu atlikums noliktavā. </t>
  </si>
  <si>
    <t>Budžeta plāns neparedzēja NVD debitoru parāda pieaugumu par 229 006 euro pret gada sākumu</t>
  </si>
  <si>
    <t>Skat sadaļu Naudas plūsma</t>
  </si>
  <si>
    <t>Papildus plānotajam uz nākamo periodu izmaksām attiecināti izdevumi elektromērījumiem saskaņā ar MK not.238. 12064 euro apmērā</t>
  </si>
  <si>
    <t>Atbilstoši MK 25.01.2022.noteikumiem Nr.72, kapitālsabiedrības rīcībā atstātā peļņas daļa no 2022.gada peļņas uzskaitīta Pārējo rezervju sastāvā (192 972 euro)</t>
  </si>
  <si>
    <t>Novirzes iemesli ir gan pārskata perioda zaudējumi, gan pārgrāmatotā kapitālsabiedrības rīcībā atstātā 2022.gada peļņas daļa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</si>
</sst>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00_-;\-&quot;€&quot;\ * #,##0.00_-;_-&quot;€&quot;\ * &quot;-&quot;??_-;_-@_-"/>
    <numFmt numFmtId="165" formatCode="_-* #,##0.00\ _€_-;\-* #,##0.00\ _€_-;_-* &quot;-&quot;??\ _€_-;_-@_-"/>
    <numFmt numFmtId="166" formatCode="0.0%"/>
    <numFmt numFmtId="167" formatCode="_-* #,##0.00\ _L_s_-;\-* #,##0.00\ _L_s_-;_-* &quot;-&quot;??\ _L_s_-;_-@_-"/>
    <numFmt numFmtId="168" formatCode="#,##0.0"/>
    <numFmt numFmtId="169" formatCode="#,##0.000"/>
  </numFmts>
  <fonts count="73" x14ac:knownFonts="1">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sz val="10"/>
      <name val="Arial"/>
      <family val="2"/>
    </font>
    <font>
      <sz val="11"/>
      <color indexed="8"/>
      <name val="Calibri"/>
      <family val="2"/>
    </font>
    <font>
      <sz val="12"/>
      <color indexed="8"/>
      <name val="Times New Roman"/>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name val="Helv"/>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2"/>
      <color indexed="8"/>
      <name val="Calibri"/>
      <family val="2"/>
      <charset val="186"/>
    </font>
    <font>
      <sz val="10"/>
      <color indexed="8"/>
      <name val="MS Sans Serif"/>
      <family val="2"/>
      <charset val="186"/>
    </font>
    <font>
      <sz val="12"/>
      <name val="Times New Roman"/>
      <family val="1"/>
      <charset val="186"/>
    </font>
    <font>
      <sz val="10"/>
      <name val="Garamond"/>
      <family val="1"/>
      <charset val="186"/>
    </font>
    <font>
      <sz val="10"/>
      <name val="Tahoma"/>
      <family val="2"/>
      <charset val="186"/>
    </font>
    <font>
      <b/>
      <sz val="18"/>
      <color indexed="56"/>
      <name val="Cambria"/>
      <family val="2"/>
      <charset val="186"/>
    </font>
    <font>
      <sz val="11"/>
      <color theme="1"/>
      <name val="Calibri"/>
      <family val="2"/>
      <scheme val="minor"/>
    </font>
    <font>
      <sz val="14"/>
      <name val="Arial"/>
      <family val="2"/>
      <charset val="186"/>
    </font>
    <font>
      <sz val="14"/>
      <name val="Times New Roman"/>
      <family val="1"/>
    </font>
    <font>
      <b/>
      <sz val="14"/>
      <name val="Times New Roman"/>
      <family val="1"/>
    </font>
    <font>
      <b/>
      <i/>
      <sz val="14"/>
      <name val="Times New Roman"/>
      <family val="1"/>
    </font>
    <font>
      <b/>
      <sz val="14"/>
      <color indexed="9"/>
      <name val="Times New Roman"/>
      <family val="1"/>
    </font>
    <font>
      <b/>
      <sz val="14"/>
      <name val="Times New Roman"/>
      <family val="1"/>
      <charset val="186"/>
    </font>
    <font>
      <sz val="14"/>
      <name val="Times New Roman"/>
      <family val="1"/>
      <charset val="186"/>
    </font>
    <font>
      <b/>
      <sz val="12"/>
      <name val="Times New Roman"/>
      <family val="1"/>
    </font>
    <font>
      <sz val="12"/>
      <name val="Times New Roman"/>
      <family val="1"/>
    </font>
    <font>
      <i/>
      <sz val="12"/>
      <name val="Times New Roman"/>
      <family val="1"/>
    </font>
    <font>
      <sz val="8"/>
      <name val="Arial"/>
      <family val="2"/>
      <charset val="186"/>
    </font>
    <font>
      <vertAlign val="superscript"/>
      <sz val="12"/>
      <name val="Times New Roman"/>
      <family val="1"/>
    </font>
    <font>
      <b/>
      <i/>
      <sz val="12"/>
      <name val="Times New Roman"/>
      <family val="1"/>
    </font>
    <font>
      <u/>
      <sz val="12"/>
      <name val="Times New Roman"/>
      <family val="1"/>
    </font>
    <font>
      <b/>
      <sz val="12"/>
      <color theme="1"/>
      <name val="Times New Roman"/>
      <family val="1"/>
    </font>
    <font>
      <b/>
      <u/>
      <sz val="12"/>
      <name val="Times New Roman"/>
      <family val="1"/>
    </font>
    <font>
      <b/>
      <sz val="12"/>
      <name val="Times New Roman"/>
      <family val="1"/>
      <charset val="186"/>
    </font>
    <font>
      <i/>
      <sz val="12"/>
      <name val="Times New Roman"/>
      <family val="1"/>
      <charset val="186"/>
    </font>
    <font>
      <vertAlign val="superscript"/>
      <sz val="12"/>
      <name val="Times New Roman"/>
      <family val="1"/>
      <charset val="186"/>
    </font>
    <font>
      <sz val="10"/>
      <name val="Times New Roman"/>
      <family val="1"/>
      <charset val="186"/>
    </font>
    <font>
      <b/>
      <u/>
      <sz val="12"/>
      <name val="Times New Roman"/>
      <family val="1"/>
      <charset val="186"/>
    </font>
    <font>
      <b/>
      <sz val="14"/>
      <name val="Arial"/>
      <family val="2"/>
      <charset val="186"/>
    </font>
    <font>
      <sz val="12"/>
      <color rgb="FF00B050"/>
      <name val="Times New Roman"/>
      <family val="1"/>
    </font>
    <font>
      <b/>
      <sz val="12"/>
      <color rgb="FF00B050"/>
      <name val="Times New Roman"/>
      <family val="1"/>
    </font>
    <font>
      <b/>
      <u/>
      <sz val="12"/>
      <color rgb="FF00B050"/>
      <name val="Times New Roman"/>
      <family val="1"/>
    </font>
    <font>
      <sz val="14"/>
      <color rgb="FF00B050"/>
      <name val="Times New Roman"/>
      <family val="1"/>
    </font>
    <font>
      <sz val="12"/>
      <color rgb="FF00B050"/>
      <name val="Times New Roman"/>
      <family val="1"/>
      <charset val="186"/>
    </font>
    <font>
      <b/>
      <sz val="12"/>
      <color rgb="FF00B050"/>
      <name val="Times New Roman"/>
      <family val="1"/>
      <charset val="186"/>
    </font>
    <font>
      <sz val="14"/>
      <color rgb="FF00B050"/>
      <name val="Arial"/>
      <family val="2"/>
      <charset val="186"/>
    </font>
    <font>
      <sz val="14"/>
      <color rgb="FF00B050"/>
      <name val="Times New Roman"/>
      <family val="1"/>
      <charset val="186"/>
    </font>
    <font>
      <sz val="9"/>
      <name val="Times New Roman"/>
      <family val="1"/>
    </font>
    <font>
      <sz val="9"/>
      <name val="Times New Roman"/>
      <family val="1"/>
      <charset val="186"/>
    </font>
    <font>
      <i/>
      <sz val="10"/>
      <name val="Times New Roman"/>
      <family val="1"/>
      <charset val="186"/>
    </font>
    <font>
      <b/>
      <i/>
      <sz val="10"/>
      <name val="Times New Roman"/>
      <family val="1"/>
      <charset val="186"/>
    </font>
  </fonts>
  <fills count="3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468">
    <xf numFmtId="0" fontId="0" fillId="0" borderId="0"/>
    <xf numFmtId="0" fontId="6" fillId="0" borderId="0"/>
    <xf numFmtId="0" fontId="6" fillId="0" borderId="0"/>
    <xf numFmtId="0" fontId="5" fillId="0" borderId="0"/>
    <xf numFmtId="0" fontId="4" fillId="0" borderId="0"/>
    <xf numFmtId="0" fontId="6" fillId="0" borderId="0"/>
    <xf numFmtId="0" fontId="6" fillId="0" borderId="0"/>
    <xf numFmtId="0" fontId="3" fillId="0" borderId="0"/>
    <xf numFmtId="0" fontId="2" fillId="0" borderId="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27" fillId="0" borderId="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6"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6"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6"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6"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3" fillId="12" borderId="8"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0" fontId="14" fillId="26" borderId="9" applyNumberFormat="0" applyAlignment="0" applyProtection="0"/>
    <xf numFmtId="41" fontId="6" fillId="0" borderId="0" applyFont="0" applyFill="0" applyBorder="0" applyAlignment="0" applyProtection="0"/>
    <xf numFmtId="165" fontId="10"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17" fillId="0" borderId="1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18" fillId="0" borderId="12"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19" fillId="0" borderId="14"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6" borderId="8" applyNumberFormat="0" applyAlignment="0" applyProtection="0"/>
    <xf numFmtId="0" fontId="20" fillId="6"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0" fillId="12" borderId="8" applyNumberFormat="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9" fillId="0" borderId="0"/>
    <xf numFmtId="0" fontId="1"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10" fillId="0" borderId="0"/>
    <xf numFmtId="0" fontId="10" fillId="0" borderId="0"/>
    <xf numFmtId="0" fontId="6" fillId="0" borderId="0"/>
    <xf numFmtId="0" fontId="33"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 fillId="0" borderId="0"/>
    <xf numFmtId="0" fontId="1"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35" fillId="0" borderId="0" applyFont="0" applyFill="0" applyAlignment="0" applyProtection="0"/>
    <xf numFmtId="0" fontId="35" fillId="0" borderId="0" applyFont="0" applyFill="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33" fillId="10" borderId="17" applyNumberFormat="0" applyFont="0" applyAlignment="0" applyProtection="0"/>
    <xf numFmtId="0" fontId="3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6" fillId="10" borderId="17" applyNumberFormat="0" applyFon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0" fontId="23" fillId="12" borderId="18"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19"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5" fillId="0" borderId="20"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7" fillId="0" borderId="0"/>
    <xf numFmtId="0" fontId="6" fillId="0" borderId="0"/>
  </cellStyleXfs>
  <cellXfs count="469">
    <xf numFmtId="0" fontId="0" fillId="0" borderId="0" xfId="0"/>
    <xf numFmtId="3" fontId="40" fillId="0" borderId="0" xfId="0" applyNumberFormat="1" applyFont="1" applyAlignment="1">
      <alignment vertical="center"/>
    </xf>
    <xf numFmtId="3" fontId="41" fillId="0" borderId="0" xfId="0" applyNumberFormat="1" applyFont="1" applyAlignment="1">
      <alignment vertical="center"/>
    </xf>
    <xf numFmtId="3" fontId="43" fillId="0" borderId="0" xfId="0" applyNumberFormat="1" applyFont="1" applyAlignment="1">
      <alignment vertical="center"/>
    </xf>
    <xf numFmtId="3" fontId="42" fillId="0" borderId="0" xfId="0" applyNumberFormat="1" applyFont="1" applyAlignment="1">
      <alignment vertical="center"/>
    </xf>
    <xf numFmtId="3" fontId="40" fillId="0" borderId="0" xfId="0" applyNumberFormat="1" applyFont="1" applyAlignment="1">
      <alignment horizontal="center" vertical="center"/>
    </xf>
    <xf numFmtId="0" fontId="39" fillId="0" borderId="0" xfId="0" applyFont="1" applyAlignment="1">
      <alignment vertical="center"/>
    </xf>
    <xf numFmtId="0" fontId="39" fillId="0" borderId="0" xfId="1467" applyFont="1" applyAlignment="1">
      <alignment vertical="center"/>
    </xf>
    <xf numFmtId="0" fontId="45" fillId="0" borderId="0" xfId="1467" applyFont="1" applyAlignment="1" applyProtection="1">
      <alignment vertical="center"/>
      <protection locked="0"/>
    </xf>
    <xf numFmtId="0" fontId="45" fillId="0" borderId="0" xfId="1467" applyFont="1" applyAlignment="1">
      <alignment vertical="center"/>
    </xf>
    <xf numFmtId="0" fontId="45" fillId="0" borderId="0" xfId="1467" applyFont="1" applyAlignment="1">
      <alignment horizontal="center" vertical="center"/>
    </xf>
    <xf numFmtId="0" fontId="46" fillId="0" borderId="1" xfId="1" applyFont="1" applyBorder="1" applyAlignment="1">
      <alignment horizontal="center" vertical="center"/>
    </xf>
    <xf numFmtId="3" fontId="47" fillId="0" borderId="1" xfId="6" applyNumberFormat="1" applyFont="1" applyBorder="1" applyAlignment="1">
      <alignment vertical="center" wrapText="1"/>
    </xf>
    <xf numFmtId="3" fontId="47" fillId="2" borderId="1" xfId="6" applyNumberFormat="1" applyFont="1" applyFill="1" applyBorder="1" applyAlignment="1">
      <alignment vertical="center" wrapText="1"/>
    </xf>
    <xf numFmtId="3" fontId="47" fillId="0" borderId="1" xfId="0" applyNumberFormat="1" applyFont="1" applyBorder="1" applyAlignment="1" applyProtection="1">
      <alignment horizontal="right" vertical="center"/>
      <protection locked="0"/>
    </xf>
    <xf numFmtId="0" fontId="47" fillId="0" borderId="1" xfId="1467" applyFont="1" applyBorder="1" applyAlignment="1">
      <alignment horizontal="center" vertical="center"/>
    </xf>
    <xf numFmtId="3" fontId="47" fillId="0" borderId="1" xfId="0" applyNumberFormat="1" applyFont="1" applyBorder="1" applyAlignment="1">
      <alignment horizontal="center" vertical="center" wrapText="1"/>
    </xf>
    <xf numFmtId="3" fontId="48" fillId="3" borderId="1" xfId="0" applyNumberFormat="1" applyFont="1" applyFill="1" applyBorder="1" applyAlignment="1">
      <alignment horizontal="center" vertical="center" wrapText="1"/>
    </xf>
    <xf numFmtId="166" fontId="48" fillId="3" borderId="1" xfId="12" applyNumberFormat="1" applyFont="1" applyFill="1" applyBorder="1" applyAlignment="1" applyProtection="1">
      <alignment horizontal="center" vertical="center" wrapText="1"/>
    </xf>
    <xf numFmtId="3" fontId="48" fillId="3" borderId="1" xfId="12" applyNumberFormat="1" applyFont="1" applyFill="1" applyBorder="1" applyAlignment="1" applyProtection="1">
      <alignment horizontal="center" vertical="center" wrapText="1"/>
    </xf>
    <xf numFmtId="0" fontId="47" fillId="0" borderId="1" xfId="1467" applyFont="1" applyBorder="1" applyAlignment="1">
      <alignment vertical="center" wrapText="1"/>
    </xf>
    <xf numFmtId="3" fontId="47" fillId="0" borderId="1" xfId="1467" applyNumberFormat="1" applyFont="1" applyBorder="1" applyAlignment="1" applyProtection="1">
      <alignment horizontal="center" vertical="center"/>
      <protection locked="0"/>
    </xf>
    <xf numFmtId="3" fontId="48" fillId="0" borderId="1" xfId="1467" applyNumberFormat="1" applyFont="1" applyBorder="1" applyAlignment="1" applyProtection="1">
      <alignment horizontal="center" vertical="center"/>
      <protection locked="0"/>
    </xf>
    <xf numFmtId="9" fontId="48" fillId="0" borderId="1" xfId="12" applyFont="1" applyFill="1" applyBorder="1" applyAlignment="1" applyProtection="1">
      <alignment horizontal="center" vertical="center"/>
      <protection locked="0"/>
    </xf>
    <xf numFmtId="49" fontId="47" fillId="0" borderId="1" xfId="1467" applyNumberFormat="1" applyFont="1" applyBorder="1" applyAlignment="1" applyProtection="1">
      <alignment horizontal="center" vertical="center"/>
      <protection locked="0"/>
    </xf>
    <xf numFmtId="0" fontId="46" fillId="27" borderId="1" xfId="1467" applyFont="1" applyFill="1" applyBorder="1" applyAlignment="1">
      <alignment horizontal="center" vertical="center"/>
    </xf>
    <xf numFmtId="0" fontId="46" fillId="27" borderId="1" xfId="1467" applyFont="1" applyFill="1" applyBorder="1" applyAlignment="1">
      <alignment vertical="center" wrapText="1"/>
    </xf>
    <xf numFmtId="3" fontId="46" fillId="27" borderId="1" xfId="1467" applyNumberFormat="1" applyFont="1" applyFill="1" applyBorder="1" applyAlignment="1">
      <alignment horizontal="center" vertical="center"/>
    </xf>
    <xf numFmtId="3" fontId="51" fillId="27" borderId="1" xfId="1467" applyNumberFormat="1" applyFont="1" applyFill="1" applyBorder="1" applyAlignment="1">
      <alignment horizontal="center" vertical="center"/>
    </xf>
    <xf numFmtId="9" fontId="51" fillId="27" borderId="1" xfId="12" applyFont="1" applyFill="1" applyBorder="1" applyAlignment="1" applyProtection="1">
      <alignment horizontal="center" vertical="center"/>
    </xf>
    <xf numFmtId="49" fontId="46" fillId="27" borderId="1" xfId="1467" applyNumberFormat="1" applyFont="1" applyFill="1" applyBorder="1" applyAlignment="1">
      <alignment horizontal="center" vertical="center"/>
    </xf>
    <xf numFmtId="3" fontId="46" fillId="27" borderId="1" xfId="1467" applyNumberFormat="1" applyFont="1" applyFill="1" applyBorder="1" applyAlignment="1" applyProtection="1">
      <alignment horizontal="center" vertical="center"/>
      <protection locked="0"/>
    </xf>
    <xf numFmtId="3" fontId="52" fillId="0" borderId="0" xfId="0" applyNumberFormat="1" applyFont="1" applyAlignment="1">
      <alignment vertical="center"/>
    </xf>
    <xf numFmtId="3" fontId="47" fillId="2" borderId="1" xfId="6" applyNumberFormat="1" applyFont="1" applyFill="1" applyBorder="1" applyAlignment="1">
      <alignment horizontal="center" vertical="center" wrapText="1"/>
    </xf>
    <xf numFmtId="0" fontId="47" fillId="0" borderId="0" xfId="0" applyFont="1" applyAlignment="1">
      <alignment vertical="center"/>
    </xf>
    <xf numFmtId="0" fontId="47" fillId="0" borderId="1" xfId="0" applyFont="1" applyBorder="1" applyAlignment="1">
      <alignment horizontal="center" vertical="center"/>
    </xf>
    <xf numFmtId="0" fontId="46" fillId="27" borderId="1" xfId="1" applyFont="1" applyFill="1" applyBorder="1" applyAlignment="1">
      <alignment horizontal="left" vertical="center"/>
    </xf>
    <xf numFmtId="3" fontId="46" fillId="27" borderId="1" xfId="1" applyNumberFormat="1" applyFont="1" applyFill="1" applyBorder="1" applyAlignment="1">
      <alignment horizontal="right" vertical="center"/>
    </xf>
    <xf numFmtId="3" fontId="51" fillId="27" borderId="1" xfId="1" applyNumberFormat="1" applyFont="1" applyFill="1" applyBorder="1" applyAlignment="1">
      <alignment horizontal="center" vertical="center"/>
    </xf>
    <xf numFmtId="49" fontId="46" fillId="27" borderId="1" xfId="1" applyNumberFormat="1" applyFont="1" applyFill="1" applyBorder="1" applyAlignment="1">
      <alignment vertical="center"/>
    </xf>
    <xf numFmtId="3" fontId="47" fillId="2" borderId="1" xfId="6" applyNumberFormat="1" applyFont="1" applyFill="1" applyBorder="1" applyAlignment="1">
      <alignment horizontal="left" vertical="center" wrapText="1"/>
    </xf>
    <xf numFmtId="3" fontId="47" fillId="0" borderId="1" xfId="1" applyNumberFormat="1" applyFont="1" applyBorder="1" applyAlignment="1" applyProtection="1">
      <alignment horizontal="right" vertical="center"/>
      <protection locked="0"/>
    </xf>
    <xf numFmtId="3" fontId="48" fillId="0" borderId="1" xfId="1" applyNumberFormat="1" applyFont="1" applyBorder="1" applyAlignment="1" applyProtection="1">
      <alignment horizontal="center" vertical="center"/>
      <protection locked="0"/>
    </xf>
    <xf numFmtId="0" fontId="47" fillId="0" borderId="0" xfId="0" applyFont="1" applyAlignment="1" applyProtection="1">
      <alignment vertical="center"/>
      <protection locked="0"/>
    </xf>
    <xf numFmtId="0" fontId="47" fillId="0" borderId="1" xfId="0" applyFont="1" applyBorder="1" applyAlignment="1" applyProtection="1">
      <alignment vertical="center"/>
      <protection locked="0"/>
    </xf>
    <xf numFmtId="3" fontId="47" fillId="2" borderId="1" xfId="1" applyNumberFormat="1" applyFont="1" applyFill="1" applyBorder="1" applyAlignment="1" applyProtection="1">
      <alignment horizontal="right" vertical="center"/>
      <protection locked="0"/>
    </xf>
    <xf numFmtId="3" fontId="48" fillId="2" borderId="1" xfId="1" applyNumberFormat="1" applyFont="1" applyFill="1" applyBorder="1" applyAlignment="1" applyProtection="1">
      <alignment horizontal="center" vertical="center"/>
      <protection locked="0"/>
    </xf>
    <xf numFmtId="9" fontId="48" fillId="2" borderId="1" xfId="12" applyFont="1" applyFill="1" applyBorder="1" applyAlignment="1" applyProtection="1">
      <alignment horizontal="center" vertical="center"/>
      <protection locked="0"/>
    </xf>
    <xf numFmtId="0" fontId="47" fillId="2" borderId="1" xfId="0" applyFont="1" applyFill="1" applyBorder="1" applyAlignment="1">
      <alignment horizontal="left" vertical="center"/>
    </xf>
    <xf numFmtId="0" fontId="48" fillId="0" borderId="0" xfId="0" applyFont="1" applyAlignment="1" applyProtection="1">
      <alignment horizontal="center" vertical="center"/>
      <protection locked="0"/>
    </xf>
    <xf numFmtId="3" fontId="47" fillId="27" borderId="1" xfId="1" applyNumberFormat="1" applyFont="1" applyFill="1" applyBorder="1" applyAlignment="1">
      <alignment horizontal="right" vertical="center"/>
    </xf>
    <xf numFmtId="3" fontId="46" fillId="27" borderId="1" xfId="6" applyNumberFormat="1" applyFont="1" applyFill="1" applyBorder="1" applyAlignment="1">
      <alignment horizontal="left" vertical="center" wrapText="1"/>
    </xf>
    <xf numFmtId="3" fontId="48" fillId="27" borderId="1" xfId="1" applyNumberFormat="1" applyFont="1" applyFill="1" applyBorder="1" applyAlignment="1">
      <alignment horizontal="center" vertical="center"/>
    </xf>
    <xf numFmtId="9" fontId="48" fillId="27" borderId="1" xfId="12" applyFont="1" applyFill="1" applyBorder="1" applyAlignment="1" applyProtection="1">
      <alignment horizontal="center" vertical="center"/>
    </xf>
    <xf numFmtId="3" fontId="46" fillId="27" borderId="1" xfId="1" applyNumberFormat="1" applyFont="1" applyFill="1" applyBorder="1" applyAlignment="1" applyProtection="1">
      <alignment horizontal="right" vertical="center"/>
      <protection locked="0"/>
    </xf>
    <xf numFmtId="3" fontId="51" fillId="27" borderId="1" xfId="1" applyNumberFormat="1" applyFont="1" applyFill="1" applyBorder="1" applyAlignment="1" applyProtection="1">
      <alignment horizontal="center" vertical="center"/>
      <protection locked="0"/>
    </xf>
    <xf numFmtId="9" fontId="51" fillId="27" borderId="1" xfId="12" applyFont="1" applyFill="1" applyBorder="1" applyAlignment="1" applyProtection="1">
      <alignment horizontal="center" vertical="center"/>
      <protection locked="0"/>
    </xf>
    <xf numFmtId="0" fontId="46" fillId="27" borderId="1" xfId="6" applyFont="1" applyFill="1" applyBorder="1" applyAlignment="1">
      <alignment horizontal="left" vertical="center" wrapText="1"/>
    </xf>
    <xf numFmtId="3" fontId="46" fillId="27" borderId="1" xfId="6" applyNumberFormat="1" applyFont="1" applyFill="1" applyBorder="1" applyAlignment="1">
      <alignment horizontal="left" vertical="center"/>
    </xf>
    <xf numFmtId="0" fontId="47" fillId="0" borderId="0" xfId="1467" applyFont="1" applyAlignment="1">
      <alignment horizontal="left" vertical="top" wrapText="1"/>
    </xf>
    <xf numFmtId="0" fontId="48" fillId="0" borderId="0" xfId="0" applyFont="1" applyAlignment="1">
      <alignment horizontal="center" vertical="center"/>
    </xf>
    <xf numFmtId="0" fontId="47" fillId="2" borderId="1" xfId="6" applyFont="1" applyFill="1" applyBorder="1" applyAlignment="1">
      <alignment horizontal="center" vertical="center"/>
    </xf>
    <xf numFmtId="0" fontId="47" fillId="2" borderId="1" xfId="6" applyFont="1" applyFill="1" applyBorder="1" applyAlignment="1">
      <alignment vertical="center" wrapText="1"/>
    </xf>
    <xf numFmtId="3" fontId="47" fillId="2" borderId="1" xfId="6" applyNumberFormat="1" applyFont="1" applyFill="1" applyBorder="1" applyAlignment="1">
      <alignment horizontal="right" vertical="center" wrapText="1"/>
    </xf>
    <xf numFmtId="3" fontId="48" fillId="2" borderId="1" xfId="6" applyNumberFormat="1" applyFont="1" applyFill="1" applyBorder="1" applyAlignment="1">
      <alignment horizontal="center" vertical="center" wrapText="1"/>
    </xf>
    <xf numFmtId="9" fontId="48" fillId="2" borderId="1" xfId="12" applyFont="1" applyFill="1" applyBorder="1" applyAlignment="1" applyProtection="1">
      <alignment horizontal="center" vertical="center" wrapText="1"/>
    </xf>
    <xf numFmtId="49" fontId="47" fillId="2" borderId="21" xfId="6" applyNumberFormat="1" applyFont="1" applyFill="1" applyBorder="1" applyAlignment="1">
      <alignment horizontal="left" vertical="center" wrapText="1"/>
    </xf>
    <xf numFmtId="0" fontId="47" fillId="2" borderId="1" xfId="6" applyFont="1" applyFill="1" applyBorder="1" applyAlignment="1">
      <alignment horizontal="left" vertical="center" wrapText="1" indent="3"/>
    </xf>
    <xf numFmtId="49" fontId="47" fillId="2" borderId="3" xfId="6" applyNumberFormat="1" applyFont="1" applyFill="1" applyBorder="1" applyAlignment="1">
      <alignment horizontal="center" vertical="center" wrapText="1"/>
    </xf>
    <xf numFmtId="3" fontId="47" fillId="2" borderId="1" xfId="0" applyNumberFormat="1" applyFont="1" applyFill="1" applyBorder="1" applyAlignment="1">
      <alignment horizontal="left" vertical="center" wrapText="1" indent="3"/>
    </xf>
    <xf numFmtId="3" fontId="47" fillId="2" borderId="1" xfId="0" applyNumberFormat="1" applyFont="1" applyFill="1" applyBorder="1" applyAlignment="1">
      <alignment horizontal="left" vertical="center" wrapText="1"/>
    </xf>
    <xf numFmtId="3" fontId="47" fillId="2" borderId="1" xfId="6" applyNumberFormat="1" applyFont="1" applyFill="1" applyBorder="1" applyAlignment="1">
      <alignment horizontal="right" vertical="center"/>
    </xf>
    <xf numFmtId="3" fontId="48" fillId="2" borderId="1" xfId="6" applyNumberFormat="1" applyFont="1" applyFill="1" applyBorder="1" applyAlignment="1">
      <alignment horizontal="center" vertical="center"/>
    </xf>
    <xf numFmtId="9" fontId="48" fillId="2" borderId="1" xfId="12" applyFont="1" applyFill="1" applyBorder="1" applyAlignment="1" applyProtection="1">
      <alignment horizontal="center" vertical="center"/>
    </xf>
    <xf numFmtId="49" fontId="47" fillId="2" borderId="3" xfId="6" applyNumberFormat="1" applyFont="1" applyFill="1" applyBorder="1" applyAlignment="1">
      <alignment horizontal="center" vertical="center"/>
    </xf>
    <xf numFmtId="0" fontId="47" fillId="2" borderId="1" xfId="6" applyFont="1" applyFill="1" applyBorder="1" applyAlignment="1">
      <alignment horizontal="left" vertical="center" wrapText="1"/>
    </xf>
    <xf numFmtId="3" fontId="47" fillId="2" borderId="1" xfId="6" applyNumberFormat="1" applyFont="1" applyFill="1" applyBorder="1" applyAlignment="1" applyProtection="1">
      <alignment horizontal="right" vertical="center"/>
      <protection locked="0"/>
    </xf>
    <xf numFmtId="3" fontId="48" fillId="2" borderId="1" xfId="6" applyNumberFormat="1" applyFont="1" applyFill="1" applyBorder="1" applyAlignment="1" applyProtection="1">
      <alignment horizontal="center" vertical="center"/>
      <protection locked="0"/>
    </xf>
    <xf numFmtId="49" fontId="47" fillId="2" borderId="1" xfId="6" applyNumberFormat="1" applyFont="1" applyFill="1" applyBorder="1" applyAlignment="1" applyProtection="1">
      <alignment horizontal="left" vertical="center"/>
      <protection locked="0"/>
    </xf>
    <xf numFmtId="3" fontId="47" fillId="2" borderId="1" xfId="1" applyNumberFormat="1" applyFont="1" applyFill="1" applyBorder="1" applyAlignment="1">
      <alignment horizontal="left" vertical="center" wrapText="1"/>
    </xf>
    <xf numFmtId="49" fontId="47" fillId="2" borderId="21" xfId="6" applyNumberFormat="1" applyFont="1" applyFill="1" applyBorder="1" applyAlignment="1">
      <alignment horizontal="left" vertical="center"/>
    </xf>
    <xf numFmtId="49" fontId="46" fillId="0" borderId="21" xfId="0" applyNumberFormat="1" applyFont="1" applyBorder="1" applyAlignment="1">
      <alignment horizontal="left" vertical="center"/>
    </xf>
    <xf numFmtId="0" fontId="47" fillId="0" borderId="1" xfId="0" applyFont="1" applyBorder="1" applyAlignment="1">
      <alignment vertical="center" wrapText="1"/>
    </xf>
    <xf numFmtId="3" fontId="48" fillId="0" borderId="1" xfId="0" applyNumberFormat="1" applyFont="1" applyBorder="1" applyAlignment="1" applyProtection="1">
      <alignment horizontal="center" vertical="center"/>
      <protection locked="0"/>
    </xf>
    <xf numFmtId="49" fontId="47" fillId="0" borderId="1" xfId="0" applyNumberFormat="1" applyFont="1" applyBorder="1" applyAlignment="1" applyProtection="1">
      <alignment horizontal="left" vertical="center"/>
      <protection locked="0"/>
    </xf>
    <xf numFmtId="49" fontId="46" fillId="0" borderId="1" xfId="0" applyNumberFormat="1" applyFont="1" applyBorder="1" applyAlignment="1" applyProtection="1">
      <alignment horizontal="left" vertical="center"/>
      <protection locked="0"/>
    </xf>
    <xf numFmtId="3" fontId="47" fillId="0" borderId="1" xfId="0" applyNumberFormat="1" applyFont="1" applyBorder="1" applyAlignment="1">
      <alignment horizontal="right" vertical="center"/>
    </xf>
    <xf numFmtId="3" fontId="48" fillId="0" borderId="1" xfId="0" applyNumberFormat="1" applyFont="1" applyBorder="1" applyAlignment="1">
      <alignment horizontal="center" vertical="center"/>
    </xf>
    <xf numFmtId="9" fontId="48" fillId="0" borderId="1" xfId="12" applyFont="1" applyFill="1" applyBorder="1" applyAlignment="1" applyProtection="1">
      <alignment horizontal="center" vertical="center"/>
    </xf>
    <xf numFmtId="0" fontId="47" fillId="2" borderId="1" xfId="0" applyFont="1" applyFill="1" applyBorder="1" applyAlignment="1">
      <alignment horizontal="center" vertical="center"/>
    </xf>
    <xf numFmtId="0" fontId="47" fillId="2" borderId="1" xfId="0" applyFont="1" applyFill="1" applyBorder="1" applyAlignment="1">
      <alignment horizontal="left" vertical="center" wrapText="1" indent="3"/>
    </xf>
    <xf numFmtId="3" fontId="47" fillId="2" borderId="1" xfId="0" applyNumberFormat="1" applyFont="1" applyFill="1" applyBorder="1" applyAlignment="1">
      <alignment horizontal="right" vertical="center"/>
    </xf>
    <xf numFmtId="3" fontId="48" fillId="2" borderId="1" xfId="0" applyNumberFormat="1" applyFont="1" applyFill="1" applyBorder="1" applyAlignment="1">
      <alignment horizontal="center" vertical="center"/>
    </xf>
    <xf numFmtId="49" fontId="46" fillId="0" borderId="3" xfId="0" applyNumberFormat="1" applyFont="1" applyBorder="1" applyAlignment="1">
      <alignment horizontal="center" vertical="center"/>
    </xf>
    <xf numFmtId="49" fontId="46" fillId="0" borderId="1" xfId="0" applyNumberFormat="1" applyFont="1" applyBorder="1" applyAlignment="1">
      <alignment vertical="center"/>
    </xf>
    <xf numFmtId="0" fontId="47" fillId="0" borderId="1" xfId="6" applyFont="1" applyBorder="1" applyAlignment="1">
      <alignment horizontal="center" vertical="center"/>
    </xf>
    <xf numFmtId="16" fontId="47" fillId="0" borderId="1" xfId="6" applyNumberFormat="1" applyFont="1" applyBorder="1" applyAlignment="1">
      <alignment vertical="center" wrapText="1"/>
    </xf>
    <xf numFmtId="3" fontId="47" fillId="0" borderId="1" xfId="6" applyNumberFormat="1" applyFont="1" applyBorder="1" applyAlignment="1" applyProtection="1">
      <alignment horizontal="right" vertical="center"/>
      <protection locked="0"/>
    </xf>
    <xf numFmtId="3" fontId="48" fillId="0" borderId="1" xfId="6" applyNumberFormat="1" applyFont="1" applyBorder="1" applyAlignment="1" applyProtection="1">
      <alignment horizontal="center" vertical="center"/>
      <protection locked="0"/>
    </xf>
    <xf numFmtId="49" fontId="46" fillId="0" borderId="1" xfId="6" applyNumberFormat="1" applyFont="1" applyBorder="1" applyAlignment="1" applyProtection="1">
      <alignment horizontal="left" vertical="center"/>
      <protection locked="0"/>
    </xf>
    <xf numFmtId="49" fontId="46" fillId="0" borderId="3" xfId="6" applyNumberFormat="1" applyFont="1" applyBorder="1" applyAlignment="1">
      <alignment horizontal="center" vertical="center" wrapText="1"/>
    </xf>
    <xf numFmtId="0" fontId="47" fillId="0" borderId="1" xfId="6" applyFont="1" applyBorder="1" applyAlignment="1">
      <alignment horizontal="center" vertical="center" wrapText="1"/>
    </xf>
    <xf numFmtId="49" fontId="47" fillId="0" borderId="1" xfId="6" applyNumberFormat="1" applyFont="1" applyBorder="1" applyAlignment="1" applyProtection="1">
      <alignment horizontal="left" vertical="center"/>
      <protection locked="0"/>
    </xf>
    <xf numFmtId="0" fontId="46" fillId="0" borderId="1" xfId="6" applyFont="1" applyBorder="1" applyAlignment="1">
      <alignment horizontal="center" vertical="center"/>
    </xf>
    <xf numFmtId="49" fontId="46" fillId="0" borderId="1" xfId="6" applyNumberFormat="1" applyFont="1" applyBorder="1" applyAlignment="1">
      <alignment horizontal="left" vertical="center" wrapText="1"/>
    </xf>
    <xf numFmtId="3" fontId="46" fillId="0" borderId="1" xfId="6" applyNumberFormat="1" applyFont="1" applyBorder="1" applyAlignment="1" applyProtection="1">
      <alignment horizontal="right" vertical="center"/>
      <protection locked="0"/>
    </xf>
    <xf numFmtId="3" fontId="51" fillId="0" borderId="1" xfId="6" applyNumberFormat="1" applyFont="1" applyBorder="1" applyAlignment="1" applyProtection="1">
      <alignment horizontal="center" vertical="center"/>
      <protection locked="0"/>
    </xf>
    <xf numFmtId="9" fontId="51" fillId="0" borderId="1" xfId="12" applyFont="1" applyFill="1" applyBorder="1" applyAlignment="1" applyProtection="1">
      <alignment horizontal="center" vertical="center"/>
      <protection locked="0"/>
    </xf>
    <xf numFmtId="0" fontId="53" fillId="0" borderId="1" xfId="6" applyFont="1" applyBorder="1" applyAlignment="1">
      <alignment horizontal="center" vertical="center" wrapText="1"/>
    </xf>
    <xf numFmtId="49" fontId="53" fillId="0" borderId="1" xfId="6" applyNumberFormat="1" applyFont="1" applyBorder="1" applyAlignment="1">
      <alignment horizontal="left" vertical="center" wrapText="1"/>
    </xf>
    <xf numFmtId="3" fontId="53" fillId="0" borderId="1" xfId="6" applyNumberFormat="1" applyFont="1" applyBorder="1" applyAlignment="1" applyProtection="1">
      <alignment horizontal="right" vertical="center" wrapText="1"/>
      <protection locked="0"/>
    </xf>
    <xf numFmtId="0" fontId="46" fillId="27" borderId="1" xfId="6" applyFont="1" applyFill="1" applyBorder="1" applyAlignment="1">
      <alignment horizontal="center" vertical="center"/>
    </xf>
    <xf numFmtId="3" fontId="46" fillId="27" borderId="1" xfId="6" applyNumberFormat="1" applyFont="1" applyFill="1" applyBorder="1" applyAlignment="1" applyProtection="1">
      <alignment horizontal="right" vertical="center"/>
      <protection locked="0"/>
    </xf>
    <xf numFmtId="3" fontId="46" fillId="27" borderId="1" xfId="6" applyNumberFormat="1" applyFont="1" applyFill="1" applyBorder="1" applyAlignment="1">
      <alignment horizontal="right" vertical="center" wrapText="1"/>
    </xf>
    <xf numFmtId="3" fontId="46" fillId="27" borderId="1" xfId="6" applyNumberFormat="1" applyFont="1" applyFill="1" applyBorder="1" applyAlignment="1">
      <alignment horizontal="right" vertical="center"/>
    </xf>
    <xf numFmtId="3" fontId="51" fillId="27" borderId="1" xfId="6" applyNumberFormat="1" applyFont="1" applyFill="1" applyBorder="1" applyAlignment="1">
      <alignment horizontal="center" vertical="center"/>
    </xf>
    <xf numFmtId="3" fontId="51" fillId="27" borderId="1" xfId="6" applyNumberFormat="1" applyFont="1" applyFill="1" applyBorder="1" applyAlignment="1">
      <alignment horizontal="center" vertical="center" wrapText="1"/>
    </xf>
    <xf numFmtId="9" fontId="51" fillId="27" borderId="1" xfId="12" applyFont="1" applyFill="1" applyBorder="1" applyAlignment="1" applyProtection="1">
      <alignment horizontal="center" vertical="center" wrapText="1"/>
    </xf>
    <xf numFmtId="0" fontId="46" fillId="27" borderId="1" xfId="6" applyFont="1" applyFill="1" applyBorder="1" applyAlignment="1">
      <alignment vertical="center" wrapText="1"/>
    </xf>
    <xf numFmtId="0" fontId="46" fillId="27" borderId="1" xfId="0" applyFont="1" applyFill="1" applyBorder="1" applyAlignment="1">
      <alignment horizontal="center" vertical="center"/>
    </xf>
    <xf numFmtId="0" fontId="46" fillId="27" borderId="1" xfId="0" applyFont="1" applyFill="1" applyBorder="1" applyAlignment="1">
      <alignment vertical="center" wrapText="1"/>
    </xf>
    <xf numFmtId="3" fontId="46" fillId="27" borderId="1" xfId="0" applyNumberFormat="1" applyFont="1" applyFill="1" applyBorder="1" applyAlignment="1">
      <alignment horizontal="right" vertical="center"/>
    </xf>
    <xf numFmtId="3" fontId="51" fillId="27" borderId="1" xfId="0" applyNumberFormat="1" applyFont="1" applyFill="1" applyBorder="1" applyAlignment="1">
      <alignment horizontal="center" vertical="center"/>
    </xf>
    <xf numFmtId="3" fontId="46" fillId="27" borderId="1" xfId="6" applyNumberFormat="1" applyFont="1" applyFill="1" applyBorder="1" applyAlignment="1">
      <alignment vertical="center" wrapText="1"/>
    </xf>
    <xf numFmtId="0" fontId="46" fillId="27" borderId="3" xfId="6" applyFont="1" applyFill="1" applyBorder="1" applyAlignment="1">
      <alignment horizontal="center" vertical="center"/>
    </xf>
    <xf numFmtId="0" fontId="46" fillId="27" borderId="3" xfId="6" applyFont="1" applyFill="1" applyBorder="1" applyAlignment="1">
      <alignment vertical="center" wrapText="1"/>
    </xf>
    <xf numFmtId="3" fontId="46" fillId="27" borderId="3" xfId="6" applyNumberFormat="1" applyFont="1" applyFill="1" applyBorder="1" applyAlignment="1">
      <alignment horizontal="right" vertical="center" wrapText="1"/>
    </xf>
    <xf numFmtId="3" fontId="51" fillId="27" borderId="3" xfId="6" applyNumberFormat="1" applyFont="1" applyFill="1" applyBorder="1" applyAlignment="1">
      <alignment horizontal="center" vertical="center" wrapText="1"/>
    </xf>
    <xf numFmtId="0" fontId="46" fillId="27" borderId="5" xfId="6" applyFont="1" applyFill="1" applyBorder="1" applyAlignment="1">
      <alignment horizontal="center" vertical="center"/>
    </xf>
    <xf numFmtId="16" fontId="46" fillId="27" borderId="5" xfId="6" applyNumberFormat="1" applyFont="1" applyFill="1" applyBorder="1" applyAlignment="1">
      <alignment vertical="center" wrapText="1"/>
    </xf>
    <xf numFmtId="3" fontId="46" fillId="27" borderId="5" xfId="6" applyNumberFormat="1" applyFont="1" applyFill="1" applyBorder="1" applyAlignment="1">
      <alignment horizontal="right" vertical="center" wrapText="1"/>
    </xf>
    <xf numFmtId="3" fontId="51" fillId="27" borderId="5" xfId="6" applyNumberFormat="1" applyFont="1" applyFill="1" applyBorder="1" applyAlignment="1">
      <alignment horizontal="center" vertical="center" wrapText="1"/>
    </xf>
    <xf numFmtId="0" fontId="46" fillId="27" borderId="1" xfId="6" applyFont="1" applyFill="1" applyBorder="1" applyAlignment="1">
      <alignment horizontal="center" vertical="center" wrapText="1"/>
    </xf>
    <xf numFmtId="49" fontId="46" fillId="27" borderId="1" xfId="6" applyNumberFormat="1" applyFont="1" applyFill="1" applyBorder="1" applyAlignment="1">
      <alignment horizontal="left" vertical="center" wrapText="1"/>
    </xf>
    <xf numFmtId="49" fontId="46" fillId="0" borderId="1" xfId="6" applyNumberFormat="1" applyFont="1" applyBorder="1" applyAlignment="1">
      <alignment horizontal="center" vertical="center" wrapText="1"/>
    </xf>
    <xf numFmtId="3" fontId="47" fillId="2" borderId="1" xfId="0" applyNumberFormat="1" applyFont="1" applyFill="1" applyBorder="1" applyAlignment="1" applyProtection="1">
      <alignment horizontal="right" vertical="center" wrapText="1"/>
      <protection locked="0"/>
    </xf>
    <xf numFmtId="3" fontId="48" fillId="2" borderId="1" xfId="0" applyNumberFormat="1" applyFont="1" applyFill="1" applyBorder="1" applyAlignment="1">
      <alignment horizontal="center" vertical="center" wrapText="1"/>
    </xf>
    <xf numFmtId="166" fontId="48" fillId="2" borderId="1" xfId="12" applyNumberFormat="1" applyFont="1" applyFill="1" applyBorder="1" applyAlignment="1" applyProtection="1">
      <alignment horizontal="center" vertical="center" wrapText="1"/>
    </xf>
    <xf numFmtId="3" fontId="47" fillId="0" borderId="1" xfId="0" applyNumberFormat="1" applyFont="1" applyBorder="1" applyAlignment="1">
      <alignment horizontal="left" vertical="center" wrapText="1"/>
    </xf>
    <xf numFmtId="3" fontId="47" fillId="0" borderId="1" xfId="0" applyNumberFormat="1" applyFont="1" applyBorder="1" applyAlignment="1" applyProtection="1">
      <alignment horizontal="right" vertical="center" wrapText="1"/>
      <protection locked="0"/>
    </xf>
    <xf numFmtId="49" fontId="46" fillId="2" borderId="1" xfId="0" applyNumberFormat="1" applyFont="1" applyFill="1" applyBorder="1" applyAlignment="1">
      <alignment horizontal="center" vertical="center"/>
    </xf>
    <xf numFmtId="3" fontId="46" fillId="2" borderId="1" xfId="0" applyNumberFormat="1" applyFont="1" applyFill="1" applyBorder="1" applyAlignment="1">
      <alignment horizontal="left" vertical="center" wrapText="1"/>
    </xf>
    <xf numFmtId="3" fontId="46" fillId="2" borderId="1" xfId="0" applyNumberFormat="1" applyFont="1" applyFill="1" applyBorder="1" applyAlignment="1" applyProtection="1">
      <alignment horizontal="right" vertical="center" wrapText="1"/>
      <protection locked="0"/>
    </xf>
    <xf numFmtId="3" fontId="51" fillId="2" borderId="1" xfId="0" applyNumberFormat="1" applyFont="1" applyFill="1" applyBorder="1" applyAlignment="1">
      <alignment horizontal="center" vertical="center" wrapText="1"/>
    </xf>
    <xf numFmtId="166" fontId="51" fillId="2" borderId="1" xfId="12" applyNumberFormat="1" applyFont="1" applyFill="1" applyBorder="1" applyAlignment="1" applyProtection="1">
      <alignment horizontal="center" vertical="center" wrapText="1"/>
    </xf>
    <xf numFmtId="3" fontId="51" fillId="0" borderId="1" xfId="0" applyNumberFormat="1" applyFont="1" applyBorder="1" applyAlignment="1" applyProtection="1">
      <alignment horizontal="left" vertical="center" wrapText="1"/>
      <protection locked="0"/>
    </xf>
    <xf numFmtId="3" fontId="46" fillId="2" borderId="1" xfId="1" applyNumberFormat="1" applyFont="1" applyFill="1" applyBorder="1" applyAlignment="1">
      <alignment horizontal="left" vertical="center" wrapText="1"/>
    </xf>
    <xf numFmtId="3" fontId="46" fillId="2" borderId="1" xfId="1" applyNumberFormat="1" applyFont="1" applyFill="1" applyBorder="1" applyAlignment="1" applyProtection="1">
      <alignment horizontal="right" vertical="center" wrapText="1"/>
      <protection locked="0"/>
    </xf>
    <xf numFmtId="49" fontId="46" fillId="0" borderId="1" xfId="0" applyNumberFormat="1" applyFont="1" applyBorder="1" applyAlignment="1">
      <alignment horizontal="center" vertical="center"/>
    </xf>
    <xf numFmtId="3" fontId="46" fillId="0" borderId="1" xfId="1" applyNumberFormat="1" applyFont="1" applyBorder="1" applyAlignment="1">
      <alignment horizontal="left" vertical="center" wrapText="1"/>
    </xf>
    <xf numFmtId="3" fontId="46" fillId="0" borderId="1" xfId="1" applyNumberFormat="1" applyFont="1" applyBorder="1" applyAlignment="1" applyProtection="1">
      <alignment horizontal="right" vertical="center" wrapText="1"/>
      <protection locked="0"/>
    </xf>
    <xf numFmtId="3" fontId="46" fillId="0" borderId="1" xfId="0" applyNumberFormat="1" applyFont="1" applyBorder="1" applyAlignment="1" applyProtection="1">
      <alignment horizontal="right" vertical="center" wrapText="1"/>
      <protection locked="0"/>
    </xf>
    <xf numFmtId="3" fontId="51" fillId="0" borderId="1" xfId="0" applyNumberFormat="1" applyFont="1" applyBorder="1" applyAlignment="1">
      <alignment horizontal="center" vertical="center" wrapText="1"/>
    </xf>
    <xf numFmtId="166" fontId="51" fillId="0" borderId="1" xfId="12" applyNumberFormat="1" applyFont="1" applyFill="1" applyBorder="1" applyAlignment="1" applyProtection="1">
      <alignment horizontal="center" vertical="center" wrapText="1"/>
    </xf>
    <xf numFmtId="0" fontId="46" fillId="2" borderId="1" xfId="0" applyFont="1" applyFill="1" applyBorder="1" applyAlignment="1">
      <alignment horizontal="center" vertical="center"/>
    </xf>
    <xf numFmtId="0" fontId="46" fillId="2" borderId="1" xfId="0" applyFont="1" applyFill="1" applyBorder="1" applyAlignment="1">
      <alignment vertical="center" wrapText="1"/>
    </xf>
    <xf numFmtId="0" fontId="47" fillId="2" borderId="1" xfId="0" applyFont="1" applyFill="1" applyBorder="1" applyAlignment="1">
      <alignment horizontal="right" vertical="center" wrapText="1"/>
    </xf>
    <xf numFmtId="0" fontId="47" fillId="2" borderId="1" xfId="0" applyFont="1" applyFill="1" applyBorder="1" applyAlignment="1">
      <alignment vertical="center" wrapText="1"/>
    </xf>
    <xf numFmtId="0" fontId="47" fillId="2" borderId="1" xfId="0" applyFont="1" applyFill="1" applyBorder="1" applyAlignment="1" applyProtection="1">
      <alignment horizontal="right" vertical="center" wrapText="1"/>
      <protection locked="0"/>
    </xf>
    <xf numFmtId="0" fontId="47" fillId="2" borderId="1" xfId="0" applyFont="1" applyFill="1" applyBorder="1" applyAlignment="1">
      <alignment horizontal="left" vertical="center" wrapText="1"/>
    </xf>
    <xf numFmtId="3" fontId="48" fillId="0" borderId="1" xfId="0" applyNumberFormat="1" applyFont="1" applyBorder="1" applyAlignment="1">
      <alignment horizontal="center" vertical="center" wrapText="1"/>
    </xf>
    <xf numFmtId="166" fontId="48" fillId="0" borderId="1" xfId="12" applyNumberFormat="1" applyFont="1" applyFill="1" applyBorder="1" applyAlignment="1" applyProtection="1">
      <alignment horizontal="center" vertical="center" wrapText="1"/>
    </xf>
    <xf numFmtId="0" fontId="46" fillId="2" borderId="1" xfId="0" applyFont="1" applyFill="1" applyBorder="1" applyAlignment="1">
      <alignment horizontal="left" vertical="center" wrapText="1"/>
    </xf>
    <xf numFmtId="0" fontId="46" fillId="2" borderId="1" xfId="0" applyFont="1" applyFill="1" applyBorder="1" applyAlignment="1" applyProtection="1">
      <alignment horizontal="right" vertical="center" wrapText="1"/>
      <protection locked="0"/>
    </xf>
    <xf numFmtId="3" fontId="48" fillId="0" borderId="1" xfId="0" applyNumberFormat="1" applyFont="1" applyBorder="1" applyAlignment="1" applyProtection="1">
      <alignment horizontal="left" vertical="center" wrapText="1"/>
      <protection locked="0"/>
    </xf>
    <xf numFmtId="0" fontId="46" fillId="2" borderId="1" xfId="0" applyFont="1" applyFill="1" applyBorder="1" applyAlignment="1">
      <alignment horizontal="left" vertical="center"/>
    </xf>
    <xf numFmtId="0" fontId="47" fillId="0" borderId="1" xfId="0" applyFont="1" applyBorder="1" applyAlignment="1">
      <alignment horizontal="left" vertical="center" wrapText="1"/>
    </xf>
    <xf numFmtId="0" fontId="46" fillId="0" borderId="1" xfId="0" applyFont="1" applyBorder="1" applyAlignment="1">
      <alignment horizontal="right" vertical="center" wrapText="1"/>
    </xf>
    <xf numFmtId="0" fontId="51" fillId="0" borderId="1" xfId="0" applyFont="1" applyBorder="1" applyAlignment="1">
      <alignment horizontal="center" vertical="center" wrapText="1"/>
    </xf>
    <xf numFmtId="0" fontId="47" fillId="0" borderId="1" xfId="0" applyFont="1" applyBorder="1" applyAlignment="1" applyProtection="1">
      <alignment horizontal="right" vertical="center" wrapText="1"/>
      <protection locked="0"/>
    </xf>
    <xf numFmtId="3" fontId="51" fillId="0" borderId="1" xfId="0" applyNumberFormat="1" applyFont="1" applyBorder="1" applyAlignment="1">
      <alignment vertical="center" wrapText="1"/>
    </xf>
    <xf numFmtId="49" fontId="47" fillId="2" borderId="1" xfId="1" applyNumberFormat="1" applyFont="1" applyFill="1" applyBorder="1" applyAlignment="1">
      <alignment horizontal="center" vertical="center"/>
    </xf>
    <xf numFmtId="3" fontId="47" fillId="0" borderId="1" xfId="0" applyNumberFormat="1" applyFont="1" applyBorder="1" applyAlignment="1">
      <alignment vertical="center"/>
    </xf>
    <xf numFmtId="3" fontId="47" fillId="0" borderId="1" xfId="0" applyNumberFormat="1" applyFont="1" applyBorder="1" applyAlignment="1">
      <alignment vertical="center" wrapText="1"/>
    </xf>
    <xf numFmtId="3" fontId="46" fillId="27" borderId="1" xfId="0" applyNumberFormat="1" applyFont="1" applyFill="1" applyBorder="1" applyAlignment="1">
      <alignment horizontal="right" vertical="center" wrapText="1"/>
    </xf>
    <xf numFmtId="3" fontId="51" fillId="27" borderId="1" xfId="0" applyNumberFormat="1" applyFont="1" applyFill="1" applyBorder="1" applyAlignment="1">
      <alignment horizontal="center" vertical="center" wrapText="1"/>
    </xf>
    <xf numFmtId="166" fontId="51" fillId="27" borderId="1" xfId="12" applyNumberFormat="1" applyFont="1" applyFill="1" applyBorder="1" applyAlignment="1" applyProtection="1">
      <alignment horizontal="center" vertical="center" wrapText="1"/>
    </xf>
    <xf numFmtId="49" fontId="46" fillId="27" borderId="1" xfId="0" applyNumberFormat="1" applyFont="1" applyFill="1" applyBorder="1" applyAlignment="1">
      <alignment horizontal="center" vertical="center"/>
    </xf>
    <xf numFmtId="3" fontId="46" fillId="27" borderId="1" xfId="0" applyNumberFormat="1" applyFont="1" applyFill="1" applyBorder="1" applyAlignment="1">
      <alignment horizontal="left" vertical="center" wrapText="1"/>
    </xf>
    <xf numFmtId="0" fontId="46" fillId="27" borderId="1" xfId="0" applyFont="1" applyFill="1" applyBorder="1" applyAlignment="1">
      <alignment horizontal="right" vertical="center" wrapText="1"/>
    </xf>
    <xf numFmtId="0" fontId="46" fillId="27" borderId="1" xfId="0" applyFont="1" applyFill="1" applyBorder="1" applyAlignment="1">
      <alignment horizontal="left" vertical="center" wrapText="1"/>
    </xf>
    <xf numFmtId="0" fontId="47" fillId="27" borderId="1" xfId="0" applyFont="1" applyFill="1" applyBorder="1" applyAlignment="1">
      <alignment horizontal="center" vertical="center"/>
    </xf>
    <xf numFmtId="3" fontId="51" fillId="0" borderId="3" xfId="0" applyNumberFormat="1" applyFont="1" applyBorder="1" applyAlignment="1">
      <alignment horizontal="center" vertical="center" wrapText="1"/>
    </xf>
    <xf numFmtId="3" fontId="47" fillId="0" borderId="0" xfId="0" applyNumberFormat="1" applyFont="1" applyAlignment="1">
      <alignment horizontal="left" vertical="center" wrapText="1"/>
    </xf>
    <xf numFmtId="3" fontId="54" fillId="27" borderId="1" xfId="0" applyNumberFormat="1" applyFont="1" applyFill="1" applyBorder="1" applyAlignment="1">
      <alignment horizontal="right" vertical="center" wrapText="1"/>
    </xf>
    <xf numFmtId="3" fontId="51" fillId="27" borderId="21" xfId="0" applyNumberFormat="1" applyFont="1" applyFill="1" applyBorder="1" applyAlignment="1">
      <alignment horizontal="left" vertical="center" wrapText="1"/>
    </xf>
    <xf numFmtId="0" fontId="46" fillId="27" borderId="1" xfId="1" applyFont="1" applyFill="1" applyBorder="1" applyAlignment="1">
      <alignment horizontal="center" vertical="center"/>
    </xf>
    <xf numFmtId="49" fontId="46" fillId="27" borderId="1" xfId="1" applyNumberFormat="1" applyFont="1" applyFill="1" applyBorder="1" applyAlignment="1">
      <alignment horizontal="center" vertical="center"/>
    </xf>
    <xf numFmtId="3" fontId="47" fillId="0" borderId="0" xfId="0" applyNumberFormat="1" applyFont="1" applyAlignment="1">
      <alignment horizontal="center" vertical="center"/>
    </xf>
    <xf numFmtId="9" fontId="48" fillId="27" borderId="1" xfId="12" applyFont="1" applyFill="1" applyBorder="1" applyAlignment="1" applyProtection="1">
      <alignment horizontal="center" vertical="center"/>
      <protection locked="0"/>
    </xf>
    <xf numFmtId="3" fontId="48" fillId="27" borderId="1" xfId="1467" applyNumberFormat="1" applyFont="1" applyFill="1" applyBorder="1" applyAlignment="1" applyProtection="1">
      <alignment horizontal="center" vertical="center"/>
      <protection locked="0"/>
    </xf>
    <xf numFmtId="49" fontId="47" fillId="27" borderId="1" xfId="1467" applyNumberFormat="1" applyFont="1" applyFill="1" applyBorder="1" applyAlignment="1" applyProtection="1">
      <alignment horizontal="center" vertical="center"/>
      <protection locked="0"/>
    </xf>
    <xf numFmtId="0" fontId="48" fillId="0" borderId="0" xfId="0" applyFont="1" applyAlignment="1">
      <alignment vertical="center"/>
    </xf>
    <xf numFmtId="0" fontId="51" fillId="0" borderId="0" xfId="0" applyFont="1" applyAlignment="1">
      <alignment vertical="center"/>
    </xf>
    <xf numFmtId="0" fontId="53" fillId="0" borderId="0" xfId="6" applyFont="1" applyAlignment="1">
      <alignment horizontal="center" vertical="center" wrapText="1"/>
    </xf>
    <xf numFmtId="49" fontId="53" fillId="0" borderId="0" xfId="6" applyNumberFormat="1" applyFont="1" applyAlignment="1">
      <alignment horizontal="left" vertical="center" wrapText="1"/>
    </xf>
    <xf numFmtId="3" fontId="46" fillId="0" borderId="0" xfId="6" applyNumberFormat="1" applyFont="1" applyAlignment="1" applyProtection="1">
      <alignment horizontal="right" vertical="center"/>
      <protection locked="0"/>
    </xf>
    <xf numFmtId="3" fontId="51" fillId="0" borderId="0" xfId="6" applyNumberFormat="1" applyFont="1" applyAlignment="1" applyProtection="1">
      <alignment horizontal="center" vertical="center"/>
      <protection locked="0"/>
    </xf>
    <xf numFmtId="9" fontId="51" fillId="0" borderId="0" xfId="12" applyFont="1" applyFill="1" applyBorder="1" applyAlignment="1" applyProtection="1">
      <alignment horizontal="center" vertical="center"/>
      <protection locked="0"/>
    </xf>
    <xf numFmtId="49" fontId="46" fillId="0" borderId="0" xfId="6" applyNumberFormat="1" applyFont="1" applyAlignment="1">
      <alignment horizontal="center" vertical="center"/>
    </xf>
    <xf numFmtId="0" fontId="47" fillId="0" borderId="0" xfId="0" applyFont="1" applyAlignment="1">
      <alignment horizontal="center" vertical="center"/>
    </xf>
    <xf numFmtId="0" fontId="46" fillId="2" borderId="1" xfId="0" applyFont="1" applyFill="1" applyBorder="1" applyAlignment="1">
      <alignment horizontal="right" vertical="center" wrapText="1"/>
    </xf>
    <xf numFmtId="0" fontId="46" fillId="28" borderId="1" xfId="0" applyFont="1" applyFill="1" applyBorder="1" applyAlignment="1">
      <alignment horizontal="center" vertical="center"/>
    </xf>
    <xf numFmtId="3" fontId="46" fillId="28" borderId="1" xfId="0" applyNumberFormat="1" applyFont="1" applyFill="1" applyBorder="1" applyAlignment="1">
      <alignment horizontal="right" vertical="center" wrapText="1"/>
    </xf>
    <xf numFmtId="3" fontId="51" fillId="28" borderId="1" xfId="0" applyNumberFormat="1" applyFont="1" applyFill="1" applyBorder="1" applyAlignment="1">
      <alignment horizontal="center" vertical="center" wrapText="1"/>
    </xf>
    <xf numFmtId="166" fontId="51" fillId="28" borderId="1" xfId="12" applyNumberFormat="1" applyFont="1" applyFill="1" applyBorder="1" applyAlignment="1" applyProtection="1">
      <alignment horizontal="center" vertical="center" wrapText="1"/>
    </xf>
    <xf numFmtId="3" fontId="51" fillId="28" borderId="21" xfId="0" applyNumberFormat="1" applyFont="1" applyFill="1" applyBorder="1" applyAlignment="1">
      <alignment horizontal="left" vertical="center" wrapText="1"/>
    </xf>
    <xf numFmtId="0" fontId="47" fillId="2" borderId="1" xfId="0" applyFont="1" applyFill="1" applyBorder="1" applyAlignment="1">
      <alignment horizontal="right" vertical="center"/>
    </xf>
    <xf numFmtId="3" fontId="41" fillId="2" borderId="0" xfId="0" applyNumberFormat="1" applyFont="1" applyFill="1" applyAlignment="1">
      <alignment vertical="center"/>
    </xf>
    <xf numFmtId="49" fontId="47" fillId="2" borderId="1" xfId="0" applyNumberFormat="1" applyFont="1" applyFill="1" applyBorder="1" applyAlignment="1">
      <alignment horizontal="right" vertical="center"/>
    </xf>
    <xf numFmtId="3" fontId="40" fillId="2" borderId="0" xfId="0" applyNumberFormat="1" applyFont="1" applyFill="1" applyAlignment="1">
      <alignment vertical="center"/>
    </xf>
    <xf numFmtId="3" fontId="46" fillId="2" borderId="1" xfId="0" applyNumberFormat="1" applyFont="1" applyFill="1" applyBorder="1" applyAlignment="1">
      <alignment horizontal="right" vertical="center" wrapText="1"/>
    </xf>
    <xf numFmtId="3" fontId="46" fillId="28" borderId="1" xfId="0" applyNumberFormat="1" applyFont="1" applyFill="1" applyBorder="1" applyAlignment="1">
      <alignment horizontal="left" vertical="center" wrapText="1"/>
    </xf>
    <xf numFmtId="3" fontId="51" fillId="2" borderId="1" xfId="0" applyNumberFormat="1" applyFont="1" applyFill="1" applyBorder="1" applyAlignment="1" applyProtection="1">
      <alignment horizontal="left" vertical="center" wrapText="1"/>
      <protection locked="0"/>
    </xf>
    <xf numFmtId="3" fontId="42" fillId="2" borderId="0" xfId="0" applyNumberFormat="1" applyFont="1" applyFill="1" applyAlignment="1">
      <alignment vertical="center"/>
    </xf>
    <xf numFmtId="3" fontId="46" fillId="2" borderId="1" xfId="0" applyNumberFormat="1" applyFont="1" applyFill="1" applyBorder="1" applyAlignment="1">
      <alignment horizontal="center" vertical="center" wrapText="1"/>
    </xf>
    <xf numFmtId="166" fontId="46" fillId="2" borderId="1" xfId="12" applyNumberFormat="1" applyFont="1" applyFill="1" applyBorder="1" applyAlignment="1" applyProtection="1">
      <alignment horizontal="center" vertical="center" wrapText="1"/>
    </xf>
    <xf numFmtId="3" fontId="46" fillId="2" borderId="1" xfId="0" applyNumberFormat="1" applyFont="1" applyFill="1" applyBorder="1" applyAlignment="1" applyProtection="1">
      <alignment horizontal="left" vertical="center" wrapText="1"/>
      <protection locked="0"/>
    </xf>
    <xf numFmtId="0" fontId="47" fillId="0" borderId="1" xfId="0" applyFont="1" applyBorder="1" applyAlignment="1">
      <alignment horizontal="right" vertical="center"/>
    </xf>
    <xf numFmtId="0" fontId="46" fillId="2" borderId="1" xfId="0" applyFont="1" applyFill="1" applyBorder="1" applyAlignment="1">
      <alignment horizontal="center" vertical="center" wrapText="1"/>
    </xf>
    <xf numFmtId="3" fontId="51" fillId="2" borderId="3" xfId="0" applyNumberFormat="1" applyFont="1" applyFill="1" applyBorder="1" applyAlignment="1">
      <alignment horizontal="center" vertical="center" wrapText="1"/>
    </xf>
    <xf numFmtId="0" fontId="46" fillId="2" borderId="1" xfId="1" applyFont="1" applyFill="1" applyBorder="1" applyAlignment="1">
      <alignment horizontal="center" vertical="center"/>
    </xf>
    <xf numFmtId="0" fontId="47" fillId="2" borderId="1" xfId="1" applyFont="1" applyFill="1" applyBorder="1" applyAlignment="1">
      <alignment horizontal="right" vertical="center"/>
    </xf>
    <xf numFmtId="49" fontId="46" fillId="28" borderId="1" xfId="0" applyNumberFormat="1" applyFont="1" applyFill="1" applyBorder="1" applyAlignment="1">
      <alignment horizontal="center" vertical="center"/>
    </xf>
    <xf numFmtId="0" fontId="46" fillId="29" borderId="1" xfId="0" applyFont="1" applyFill="1" applyBorder="1" applyAlignment="1">
      <alignment horizontal="center" vertical="center"/>
    </xf>
    <xf numFmtId="3" fontId="46" fillId="29" borderId="1" xfId="0" applyNumberFormat="1" applyFont="1" applyFill="1" applyBorder="1" applyAlignment="1">
      <alignment horizontal="center" vertical="center" wrapText="1"/>
    </xf>
    <xf numFmtId="3" fontId="46" fillId="29" borderId="1" xfId="0" applyNumberFormat="1" applyFont="1" applyFill="1" applyBorder="1" applyAlignment="1">
      <alignment horizontal="right" vertical="center" wrapText="1"/>
    </xf>
    <xf numFmtId="3" fontId="51" fillId="29" borderId="1" xfId="0" applyNumberFormat="1" applyFont="1" applyFill="1" applyBorder="1" applyAlignment="1">
      <alignment horizontal="center" vertical="center" wrapText="1"/>
    </xf>
    <xf numFmtId="166" fontId="51" fillId="29" borderId="1" xfId="12" applyNumberFormat="1" applyFont="1" applyFill="1" applyBorder="1" applyAlignment="1" applyProtection="1">
      <alignment horizontal="center" vertical="center" wrapText="1"/>
    </xf>
    <xf numFmtId="3" fontId="51" fillId="29" borderId="21" xfId="0" applyNumberFormat="1" applyFont="1" applyFill="1" applyBorder="1" applyAlignment="1">
      <alignment horizontal="left" vertical="center" wrapText="1"/>
    </xf>
    <xf numFmtId="0" fontId="46" fillId="30" borderId="1" xfId="0" applyFont="1" applyFill="1" applyBorder="1" applyAlignment="1">
      <alignment horizontal="center" vertical="center"/>
    </xf>
    <xf numFmtId="3" fontId="46" fillId="30" borderId="1" xfId="0" applyNumberFormat="1" applyFont="1" applyFill="1" applyBorder="1" applyAlignment="1">
      <alignment horizontal="center" vertical="center" wrapText="1"/>
    </xf>
    <xf numFmtId="3" fontId="46" fillId="30" borderId="1" xfId="0" applyNumberFormat="1" applyFont="1" applyFill="1" applyBorder="1" applyAlignment="1">
      <alignment horizontal="right" vertical="center" wrapText="1"/>
    </xf>
    <xf numFmtId="3" fontId="51" fillId="30" borderId="1" xfId="0" applyNumberFormat="1" applyFont="1" applyFill="1" applyBorder="1" applyAlignment="1">
      <alignment horizontal="center" vertical="center" wrapText="1"/>
    </xf>
    <xf numFmtId="166" fontId="51" fillId="30" borderId="1" xfId="12" applyNumberFormat="1" applyFont="1" applyFill="1" applyBorder="1" applyAlignment="1" applyProtection="1">
      <alignment horizontal="center" vertical="center" wrapText="1"/>
    </xf>
    <xf numFmtId="3" fontId="51" fillId="30" borderId="21" xfId="0" applyNumberFormat="1" applyFont="1" applyFill="1" applyBorder="1" applyAlignment="1">
      <alignment horizontal="left" vertical="center" wrapText="1"/>
    </xf>
    <xf numFmtId="3" fontId="46" fillId="30" borderId="1" xfId="6" applyNumberFormat="1" applyFont="1" applyFill="1" applyBorder="1" applyAlignment="1">
      <alignment horizontal="left" vertical="center" wrapText="1"/>
    </xf>
    <xf numFmtId="0" fontId="46" fillId="30" borderId="4" xfId="6" applyFont="1" applyFill="1" applyBorder="1" applyAlignment="1">
      <alignment horizontal="center" vertical="center"/>
    </xf>
    <xf numFmtId="0" fontId="48" fillId="30" borderId="0" xfId="0" applyFont="1" applyFill="1" applyAlignment="1">
      <alignment horizontal="center" vertical="center"/>
    </xf>
    <xf numFmtId="49" fontId="47" fillId="30" borderId="0" xfId="0" applyNumberFormat="1" applyFont="1" applyFill="1" applyAlignment="1">
      <alignment horizontal="left" vertical="center"/>
    </xf>
    <xf numFmtId="0" fontId="47" fillId="30" borderId="0" xfId="0" applyFont="1" applyFill="1" applyAlignment="1">
      <alignment vertical="center"/>
    </xf>
    <xf numFmtId="9" fontId="48" fillId="30" borderId="0" xfId="12" applyFont="1" applyFill="1" applyAlignment="1" applyProtection="1">
      <alignment horizontal="center" vertical="center"/>
    </xf>
    <xf numFmtId="49" fontId="46" fillId="27" borderId="21" xfId="6" applyNumberFormat="1" applyFont="1" applyFill="1" applyBorder="1" applyAlignment="1">
      <alignment horizontal="left" vertical="center" wrapText="1"/>
    </xf>
    <xf numFmtId="49" fontId="46" fillId="27" borderId="21" xfId="0" applyNumberFormat="1" applyFont="1" applyFill="1" applyBorder="1" applyAlignment="1">
      <alignment horizontal="left" vertical="center"/>
    </xf>
    <xf numFmtId="49" fontId="46" fillId="27" borderId="21" xfId="6" applyNumberFormat="1" applyFont="1" applyFill="1" applyBorder="1" applyAlignment="1">
      <alignment horizontal="left" vertical="center"/>
    </xf>
    <xf numFmtId="3" fontId="51" fillId="27" borderId="21" xfId="0" applyNumberFormat="1" applyFont="1" applyFill="1" applyBorder="1" applyAlignment="1">
      <alignment vertical="center" wrapText="1"/>
    </xf>
    <xf numFmtId="0" fontId="46" fillId="30" borderId="1" xfId="1467" applyFont="1" applyFill="1" applyBorder="1" applyAlignment="1">
      <alignment horizontal="center" vertical="center"/>
    </xf>
    <xf numFmtId="0" fontId="46" fillId="30" borderId="1" xfId="1467" applyFont="1" applyFill="1" applyBorder="1" applyAlignment="1">
      <alignment vertical="center" wrapText="1"/>
    </xf>
    <xf numFmtId="3" fontId="46" fillId="30" borderId="1" xfId="1467" applyNumberFormat="1" applyFont="1" applyFill="1" applyBorder="1" applyAlignment="1">
      <alignment horizontal="center" vertical="center"/>
    </xf>
    <xf numFmtId="9" fontId="48" fillId="30" borderId="1" xfId="12" applyFont="1" applyFill="1" applyBorder="1" applyAlignment="1" applyProtection="1">
      <alignment horizontal="center" vertical="center"/>
      <protection locked="0"/>
    </xf>
    <xf numFmtId="49" fontId="46" fillId="27" borderId="21" xfId="1" applyNumberFormat="1" applyFont="1" applyFill="1" applyBorder="1" applyAlignment="1">
      <alignment horizontal="left" vertical="center"/>
    </xf>
    <xf numFmtId="0" fontId="46" fillId="30" borderId="1" xfId="1" applyFont="1" applyFill="1" applyBorder="1" applyAlignment="1">
      <alignment horizontal="left" vertical="center"/>
    </xf>
    <xf numFmtId="3" fontId="46" fillId="30" borderId="1" xfId="1" applyNumberFormat="1" applyFont="1" applyFill="1" applyBorder="1" applyAlignment="1">
      <alignment horizontal="right" vertical="center"/>
    </xf>
    <xf numFmtId="3" fontId="51" fillId="30" borderId="1" xfId="1" applyNumberFormat="1" applyFont="1" applyFill="1" applyBorder="1" applyAlignment="1">
      <alignment horizontal="center" vertical="center"/>
    </xf>
    <xf numFmtId="9" fontId="51" fillId="30" borderId="1" xfId="12" applyFont="1" applyFill="1" applyBorder="1" applyAlignment="1" applyProtection="1">
      <alignment horizontal="center" vertical="center"/>
    </xf>
    <xf numFmtId="49" fontId="46" fillId="30" borderId="21" xfId="1" applyNumberFormat="1" applyFont="1" applyFill="1" applyBorder="1" applyAlignment="1">
      <alignment horizontal="left" vertical="center"/>
    </xf>
    <xf numFmtId="0" fontId="46" fillId="27" borderId="1" xfId="0" applyFont="1" applyFill="1" applyBorder="1" applyAlignment="1" applyProtection="1">
      <alignment horizontal="right" vertical="center" wrapText="1"/>
      <protection locked="0"/>
    </xf>
    <xf numFmtId="3" fontId="46" fillId="27" borderId="1" xfId="0" applyNumberFormat="1" applyFont="1" applyFill="1" applyBorder="1" applyAlignment="1" applyProtection="1">
      <alignment horizontal="right" vertical="center" wrapText="1"/>
      <protection locked="0"/>
    </xf>
    <xf numFmtId="3" fontId="51" fillId="27" borderId="1" xfId="0" applyNumberFormat="1" applyFont="1" applyFill="1" applyBorder="1" applyAlignment="1">
      <alignment vertical="center" wrapText="1"/>
    </xf>
    <xf numFmtId="3" fontId="48" fillId="27" borderId="1" xfId="1" applyNumberFormat="1" applyFont="1" applyFill="1" applyBorder="1" applyAlignment="1" applyProtection="1">
      <alignment horizontal="center" vertical="center"/>
      <protection locked="0"/>
    </xf>
    <xf numFmtId="49" fontId="46" fillId="27" borderId="5" xfId="1" applyNumberFormat="1" applyFont="1" applyFill="1" applyBorder="1" applyAlignment="1">
      <alignment horizontal="center" vertical="center"/>
    </xf>
    <xf numFmtId="3" fontId="47" fillId="2" borderId="1" xfId="6" applyNumberFormat="1" applyFont="1" applyFill="1" applyBorder="1" applyAlignment="1">
      <alignment horizontal="left" vertical="top" wrapText="1"/>
    </xf>
    <xf numFmtId="3" fontId="46" fillId="29" borderId="1" xfId="6" applyNumberFormat="1" applyFont="1" applyFill="1" applyBorder="1" applyAlignment="1">
      <alignment horizontal="left" vertical="center" wrapText="1"/>
    </xf>
    <xf numFmtId="3" fontId="46" fillId="29" borderId="1" xfId="1" applyNumberFormat="1" applyFont="1" applyFill="1" applyBorder="1" applyAlignment="1">
      <alignment horizontal="right" vertical="center"/>
    </xf>
    <xf numFmtId="3" fontId="51" fillId="29" borderId="1" xfId="1" applyNumberFormat="1" applyFont="1" applyFill="1" applyBorder="1" applyAlignment="1">
      <alignment horizontal="center" vertical="center"/>
    </xf>
    <xf numFmtId="9" fontId="51" fillId="29" borderId="1" xfId="12" applyFont="1" applyFill="1" applyBorder="1" applyAlignment="1" applyProtection="1">
      <alignment horizontal="center" vertical="center"/>
    </xf>
    <xf numFmtId="49" fontId="46" fillId="29" borderId="21" xfId="1" applyNumberFormat="1" applyFont="1" applyFill="1" applyBorder="1" applyAlignment="1">
      <alignment horizontal="left" vertical="center"/>
    </xf>
    <xf numFmtId="0" fontId="46" fillId="0" borderId="0" xfId="0" applyFont="1" applyAlignment="1">
      <alignment vertical="center"/>
    </xf>
    <xf numFmtId="0" fontId="46" fillId="0" borderId="0" xfId="0" applyFont="1" applyAlignment="1" applyProtection="1">
      <alignment vertical="center"/>
      <protection locked="0"/>
    </xf>
    <xf numFmtId="0" fontId="46" fillId="29" borderId="1" xfId="1" applyFont="1" applyFill="1" applyBorder="1" applyAlignment="1">
      <alignment horizontal="center" vertical="center"/>
    </xf>
    <xf numFmtId="0" fontId="46" fillId="30" borderId="1" xfId="1" applyFont="1" applyFill="1" applyBorder="1" applyAlignment="1">
      <alignment horizontal="center" vertical="center"/>
    </xf>
    <xf numFmtId="49" fontId="46" fillId="30" borderId="1" xfId="1" applyNumberFormat="1" applyFont="1" applyFill="1" applyBorder="1" applyAlignment="1">
      <alignment vertical="center"/>
    </xf>
    <xf numFmtId="49" fontId="46" fillId="27" borderId="3" xfId="1" applyNumberFormat="1" applyFont="1" applyFill="1" applyBorder="1" applyAlignment="1">
      <alignment vertical="center"/>
    </xf>
    <xf numFmtId="0" fontId="46" fillId="27" borderId="1" xfId="0" applyFont="1" applyFill="1" applyBorder="1" applyAlignment="1" applyProtection="1">
      <alignment vertical="center"/>
      <protection locked="0"/>
    </xf>
    <xf numFmtId="3" fontId="46" fillId="30" borderId="1" xfId="1" applyNumberFormat="1" applyFont="1" applyFill="1" applyBorder="1" applyAlignment="1" applyProtection="1">
      <alignment horizontal="right" vertical="center"/>
      <protection locked="0"/>
    </xf>
    <xf numFmtId="3" fontId="51" fillId="30" borderId="1" xfId="1" applyNumberFormat="1" applyFont="1" applyFill="1" applyBorder="1" applyAlignment="1" applyProtection="1">
      <alignment horizontal="center" vertical="center"/>
      <protection locked="0"/>
    </xf>
    <xf numFmtId="9" fontId="51" fillId="30" borderId="1" xfId="12" applyFont="1" applyFill="1" applyBorder="1" applyAlignment="1" applyProtection="1">
      <alignment horizontal="center" vertical="center"/>
      <protection locked="0"/>
    </xf>
    <xf numFmtId="49" fontId="46" fillId="30" borderId="3" xfId="1" applyNumberFormat="1" applyFont="1" applyFill="1" applyBorder="1" applyAlignment="1" applyProtection="1">
      <alignment horizontal="center" vertical="center"/>
      <protection locked="0"/>
    </xf>
    <xf numFmtId="9" fontId="51" fillId="27" borderId="4" xfId="12" applyFont="1" applyFill="1" applyBorder="1" applyAlignment="1" applyProtection="1">
      <alignment horizontal="center" vertical="center"/>
    </xf>
    <xf numFmtId="49" fontId="47" fillId="27" borderId="1" xfId="1" applyNumberFormat="1" applyFont="1" applyFill="1" applyBorder="1" applyAlignment="1">
      <alignment horizontal="center" vertical="center"/>
    </xf>
    <xf numFmtId="49" fontId="46" fillId="0" borderId="1" xfId="1" applyNumberFormat="1" applyFont="1" applyBorder="1" applyAlignment="1">
      <alignment horizontal="center" vertical="center"/>
    </xf>
    <xf numFmtId="3" fontId="55" fillId="0" borderId="1" xfId="0" applyNumberFormat="1" applyFont="1" applyBorder="1" applyAlignment="1">
      <alignment horizontal="center" vertical="center" wrapText="1"/>
    </xf>
    <xf numFmtId="3" fontId="55" fillId="2" borderId="1" xfId="6" applyNumberFormat="1" applyFont="1" applyFill="1" applyBorder="1" applyAlignment="1">
      <alignment horizontal="right" vertical="center"/>
    </xf>
    <xf numFmtId="3" fontId="55" fillId="2" borderId="1" xfId="6" applyNumberFormat="1" applyFont="1" applyFill="1" applyBorder="1" applyAlignment="1" applyProtection="1">
      <alignment horizontal="right" vertical="center"/>
      <protection locked="0"/>
    </xf>
    <xf numFmtId="3" fontId="55" fillId="0" borderId="1" xfId="0" applyNumberFormat="1" applyFont="1" applyBorder="1" applyAlignment="1" applyProtection="1">
      <alignment horizontal="right" vertical="center"/>
      <protection locked="0"/>
    </xf>
    <xf numFmtId="3" fontId="55" fillId="2" borderId="1" xfId="0" applyNumberFormat="1" applyFont="1" applyFill="1" applyBorder="1" applyAlignment="1">
      <alignment horizontal="right" vertical="center"/>
    </xf>
    <xf numFmtId="3" fontId="55" fillId="27" borderId="1" xfId="6" applyNumberFormat="1" applyFont="1" applyFill="1" applyBorder="1" applyAlignment="1">
      <alignment horizontal="right" vertical="center" wrapText="1"/>
    </xf>
    <xf numFmtId="3" fontId="55" fillId="0" borderId="1" xfId="6" applyNumberFormat="1" applyFont="1" applyBorder="1" applyAlignment="1" applyProtection="1">
      <alignment horizontal="right" vertical="center"/>
      <protection locked="0"/>
    </xf>
    <xf numFmtId="3" fontId="56" fillId="2" borderId="1" xfId="0" applyNumberFormat="1" applyFont="1" applyFill="1" applyBorder="1" applyAlignment="1" applyProtection="1">
      <alignment horizontal="center" vertical="center" wrapText="1"/>
      <protection locked="0"/>
    </xf>
    <xf numFmtId="49" fontId="34" fillId="0" borderId="1" xfId="6" applyNumberFormat="1" applyFont="1" applyBorder="1" applyAlignment="1" applyProtection="1">
      <alignment horizontal="left" vertical="center" wrapText="1"/>
      <protection locked="0"/>
    </xf>
    <xf numFmtId="49" fontId="34" fillId="0" borderId="1" xfId="1" applyNumberFormat="1" applyFont="1" applyBorder="1" applyAlignment="1">
      <alignment horizontal="center" vertical="center" wrapText="1"/>
    </xf>
    <xf numFmtId="3" fontId="56" fillId="0" borderId="3" xfId="0" applyNumberFormat="1" applyFont="1" applyBorder="1" applyAlignment="1">
      <alignment horizontal="center" vertical="center" wrapText="1"/>
    </xf>
    <xf numFmtId="3" fontId="34" fillId="0" borderId="1" xfId="0" applyNumberFormat="1" applyFont="1" applyBorder="1" applyAlignment="1">
      <alignment horizontal="center" vertical="center" wrapText="1"/>
    </xf>
    <xf numFmtId="3" fontId="56" fillId="30" borderId="21" xfId="0" applyNumberFormat="1" applyFont="1" applyFill="1" applyBorder="1" applyAlignment="1">
      <alignment horizontal="left" vertical="center" wrapText="1"/>
    </xf>
    <xf numFmtId="3" fontId="56" fillId="28" borderId="21" xfId="0" applyNumberFormat="1" applyFont="1" applyFill="1" applyBorder="1" applyAlignment="1">
      <alignment horizontal="left" vertical="center" wrapText="1"/>
    </xf>
    <xf numFmtId="3" fontId="56" fillId="0" borderId="1" xfId="0" applyNumberFormat="1" applyFont="1" applyBorder="1" applyAlignment="1" applyProtection="1">
      <alignment horizontal="left" vertical="center" wrapText="1"/>
      <protection locked="0"/>
    </xf>
    <xf numFmtId="3" fontId="56" fillId="27" borderId="21" xfId="0" applyNumberFormat="1" applyFont="1" applyFill="1" applyBorder="1" applyAlignment="1">
      <alignment vertical="center" wrapText="1"/>
    </xf>
    <xf numFmtId="3" fontId="56" fillId="27" borderId="21" xfId="0" applyNumberFormat="1" applyFont="1" applyFill="1" applyBorder="1" applyAlignment="1">
      <alignment horizontal="left" vertical="center" wrapText="1"/>
    </xf>
    <xf numFmtId="3" fontId="56" fillId="2" borderId="3" xfId="0" applyNumberFormat="1" applyFont="1" applyFill="1" applyBorder="1" applyAlignment="1">
      <alignment horizontal="center" vertical="center" wrapText="1"/>
    </xf>
    <xf numFmtId="3" fontId="34" fillId="28" borderId="1" xfId="0" applyNumberFormat="1" applyFont="1" applyFill="1" applyBorder="1" applyAlignment="1">
      <alignment horizontal="right" vertical="center" wrapText="1"/>
    </xf>
    <xf numFmtId="3" fontId="34" fillId="2" borderId="1" xfId="0" applyNumberFormat="1" applyFont="1" applyFill="1" applyBorder="1" applyAlignment="1">
      <alignment horizontal="right" vertical="center" wrapText="1"/>
    </xf>
    <xf numFmtId="3" fontId="56" fillId="2" borderId="1" xfId="0" applyNumberFormat="1" applyFont="1" applyFill="1" applyBorder="1" applyAlignment="1" applyProtection="1">
      <alignment horizontal="left" vertical="center" wrapText="1"/>
      <protection locked="0"/>
    </xf>
    <xf numFmtId="3" fontId="34" fillId="2" borderId="1" xfId="0" applyNumberFormat="1" applyFont="1" applyFill="1" applyBorder="1" applyAlignment="1" applyProtection="1">
      <alignment horizontal="left" vertical="center" wrapText="1"/>
      <protection locked="0"/>
    </xf>
    <xf numFmtId="3" fontId="56" fillId="0" borderId="1" xfId="0" applyNumberFormat="1" applyFont="1" applyBorder="1" applyAlignment="1">
      <alignment vertical="center" wrapText="1"/>
    </xf>
    <xf numFmtId="3" fontId="56" fillId="27" borderId="1" xfId="0" applyNumberFormat="1" applyFont="1" applyFill="1" applyBorder="1" applyAlignment="1">
      <alignment vertical="center" wrapText="1"/>
    </xf>
    <xf numFmtId="3" fontId="56" fillId="29" borderId="21" xfId="0" applyNumberFormat="1" applyFont="1" applyFill="1" applyBorder="1" applyAlignment="1">
      <alignment horizontal="left" vertical="center" wrapText="1"/>
    </xf>
    <xf numFmtId="3" fontId="34" fillId="0" borderId="0" xfId="0" applyNumberFormat="1" applyFont="1" applyAlignment="1">
      <alignment horizontal="center" vertical="center"/>
    </xf>
    <xf numFmtId="3" fontId="34" fillId="0" borderId="0" xfId="0" applyNumberFormat="1" applyFont="1" applyAlignment="1">
      <alignment horizontal="left" vertical="center" wrapText="1"/>
    </xf>
    <xf numFmtId="3" fontId="45" fillId="0" borderId="0" xfId="0" applyNumberFormat="1" applyFont="1" applyAlignment="1">
      <alignment horizontal="center" vertical="center"/>
    </xf>
    <xf numFmtId="49" fontId="58" fillId="27" borderId="1" xfId="1467" applyNumberFormat="1" applyFont="1" applyFill="1" applyBorder="1" applyAlignment="1">
      <alignment horizontal="center" vertical="center" wrapText="1"/>
    </xf>
    <xf numFmtId="4" fontId="40" fillId="0" borderId="0" xfId="0" applyNumberFormat="1" applyFont="1" applyAlignment="1">
      <alignment horizontal="center" vertical="center"/>
    </xf>
    <xf numFmtId="169" fontId="47" fillId="0" borderId="0" xfId="0" applyNumberFormat="1" applyFont="1" applyAlignment="1">
      <alignment horizontal="center" vertical="center"/>
    </xf>
    <xf numFmtId="0" fontId="55" fillId="0" borderId="0" xfId="0" applyFont="1" applyAlignment="1">
      <alignment vertical="center"/>
    </xf>
    <xf numFmtId="3" fontId="55" fillId="27" borderId="1" xfId="6" applyNumberFormat="1" applyFont="1" applyFill="1" applyBorder="1" applyAlignment="1">
      <alignment horizontal="right" vertical="center"/>
    </xf>
    <xf numFmtId="0" fontId="55" fillId="30" borderId="0" xfId="0" applyFont="1" applyFill="1" applyAlignment="1">
      <alignment vertical="center"/>
    </xf>
    <xf numFmtId="3" fontId="55" fillId="2" borderId="1" xfId="6" applyNumberFormat="1" applyFont="1" applyFill="1" applyBorder="1" applyAlignment="1">
      <alignment horizontal="right" vertical="center" wrapText="1"/>
    </xf>
    <xf numFmtId="3" fontId="55" fillId="27" borderId="1" xfId="0" applyNumberFormat="1" applyFont="1" applyFill="1" applyBorder="1" applyAlignment="1">
      <alignment horizontal="right" vertical="center"/>
    </xf>
    <xf numFmtId="3" fontId="55" fillId="0" borderId="1" xfId="0" applyNumberFormat="1" applyFont="1" applyBorder="1" applyAlignment="1">
      <alignment horizontal="right" vertical="center"/>
    </xf>
    <xf numFmtId="3" fontId="55" fillId="0" borderId="0" xfId="6" applyNumberFormat="1" applyFont="1" applyAlignment="1" applyProtection="1">
      <alignment horizontal="right" vertical="center"/>
      <protection locked="0"/>
    </xf>
    <xf numFmtId="0" fontId="55" fillId="0" borderId="0" xfId="1467" applyFont="1" applyAlignment="1">
      <alignment horizontal="left" vertical="top" wrapText="1"/>
    </xf>
    <xf numFmtId="3" fontId="55" fillId="0" borderId="0" xfId="0" applyNumberFormat="1" applyFont="1" applyAlignment="1" applyProtection="1">
      <alignment vertical="center"/>
      <protection locked="0"/>
    </xf>
    <xf numFmtId="3" fontId="55" fillId="30" borderId="1" xfId="0" applyNumberFormat="1" applyFont="1" applyFill="1" applyBorder="1" applyAlignment="1">
      <alignment horizontal="right" vertical="center" wrapText="1"/>
    </xf>
    <xf numFmtId="3" fontId="55" fillId="28" borderId="1" xfId="0" applyNumberFormat="1" applyFont="1" applyFill="1" applyBorder="1" applyAlignment="1">
      <alignment horizontal="right" vertical="center" wrapText="1"/>
    </xf>
    <xf numFmtId="3" fontId="55" fillId="27" borderId="1" xfId="0" applyNumberFormat="1" applyFont="1" applyFill="1" applyBorder="1" applyAlignment="1">
      <alignment horizontal="right" vertical="center" wrapText="1"/>
    </xf>
    <xf numFmtId="3" fontId="55" fillId="2" borderId="1" xfId="0" applyNumberFormat="1" applyFont="1" applyFill="1" applyBorder="1" applyAlignment="1" applyProtection="1">
      <alignment horizontal="right" vertical="center" wrapText="1"/>
      <protection locked="0"/>
    </xf>
    <xf numFmtId="3" fontId="55" fillId="0" borderId="1" xfId="0" applyNumberFormat="1" applyFont="1" applyBorder="1" applyAlignment="1" applyProtection="1">
      <alignment horizontal="right" vertical="center" wrapText="1"/>
      <protection locked="0"/>
    </xf>
    <xf numFmtId="0" fontId="55" fillId="27" borderId="1" xfId="0" applyFont="1" applyFill="1" applyBorder="1" applyAlignment="1">
      <alignment horizontal="right" vertical="center" wrapText="1"/>
    </xf>
    <xf numFmtId="0" fontId="55" fillId="2" borderId="1" xfId="0" applyFont="1" applyFill="1" applyBorder="1" applyAlignment="1">
      <alignment horizontal="right" vertical="center" wrapText="1"/>
    </xf>
    <xf numFmtId="3" fontId="55" fillId="2" borderId="1" xfId="0" applyNumberFormat="1" applyFont="1" applyFill="1" applyBorder="1" applyAlignment="1">
      <alignment horizontal="right" vertical="center" wrapText="1"/>
    </xf>
    <xf numFmtId="0" fontId="55" fillId="2" borderId="1" xfId="0" applyFont="1" applyFill="1" applyBorder="1" applyAlignment="1" applyProtection="1">
      <alignment horizontal="right" vertical="center" wrapText="1"/>
      <protection locked="0"/>
    </xf>
    <xf numFmtId="0" fontId="55" fillId="0" borderId="1" xfId="0" applyFont="1" applyBorder="1" applyAlignment="1">
      <alignment horizontal="right" vertical="center" wrapText="1"/>
    </xf>
    <xf numFmtId="3" fontId="55" fillId="27" borderId="1" xfId="0" applyNumberFormat="1" applyFont="1" applyFill="1" applyBorder="1" applyAlignment="1" applyProtection="1">
      <alignment horizontal="right" vertical="center" wrapText="1"/>
      <protection locked="0"/>
    </xf>
    <xf numFmtId="3" fontId="59" fillId="27" borderId="1" xfId="0" applyNumberFormat="1" applyFont="1" applyFill="1" applyBorder="1" applyAlignment="1">
      <alignment horizontal="right" vertical="center" wrapText="1"/>
    </xf>
    <xf numFmtId="3" fontId="55" fillId="29" borderId="1" xfId="0" applyNumberFormat="1" applyFont="1" applyFill="1" applyBorder="1" applyAlignment="1">
      <alignment horizontal="right" vertical="center" wrapText="1"/>
    </xf>
    <xf numFmtId="3" fontId="44" fillId="0" borderId="0" xfId="0" applyNumberFormat="1" applyFont="1" applyAlignment="1">
      <alignment horizontal="center" vertical="center"/>
    </xf>
    <xf numFmtId="3" fontId="44" fillId="0" borderId="0" xfId="0" applyNumberFormat="1" applyFont="1" applyAlignment="1">
      <alignment vertical="center"/>
    </xf>
    <xf numFmtId="3" fontId="55" fillId="0" borderId="1" xfId="1467" applyNumberFormat="1" applyFont="1" applyBorder="1" applyAlignment="1" applyProtection="1">
      <alignment horizontal="center" vertical="center"/>
      <protection locked="0"/>
    </xf>
    <xf numFmtId="3" fontId="55" fillId="27" borderId="1" xfId="1467" applyNumberFormat="1" applyFont="1" applyFill="1" applyBorder="1" applyAlignment="1">
      <alignment horizontal="center" vertical="center"/>
    </xf>
    <xf numFmtId="3" fontId="55" fillId="27" borderId="1" xfId="1467" applyNumberFormat="1" applyFont="1" applyFill="1" applyBorder="1" applyAlignment="1" applyProtection="1">
      <alignment horizontal="center" vertical="center"/>
      <protection locked="0"/>
    </xf>
    <xf numFmtId="3" fontId="55" fillId="30" borderId="1" xfId="1467" applyNumberFormat="1" applyFont="1" applyFill="1" applyBorder="1" applyAlignment="1">
      <alignment horizontal="center" vertical="center"/>
    </xf>
    <xf numFmtId="0" fontId="60" fillId="0" borderId="0" xfId="1467" applyFont="1" applyAlignment="1">
      <alignment vertical="center"/>
    </xf>
    <xf numFmtId="0" fontId="60" fillId="0" borderId="0" xfId="0" applyFont="1" applyAlignment="1">
      <alignment vertical="center"/>
    </xf>
    <xf numFmtId="0" fontId="44" fillId="0" borderId="0" xfId="1467" applyFont="1" applyAlignment="1" applyProtection="1">
      <alignment vertical="center"/>
      <protection locked="0"/>
    </xf>
    <xf numFmtId="3" fontId="61" fillId="0" borderId="1" xfId="0" applyNumberFormat="1" applyFont="1" applyBorder="1" applyAlignment="1">
      <alignment horizontal="center" vertical="center" wrapText="1"/>
    </xf>
    <xf numFmtId="3" fontId="62" fillId="30" borderId="1" xfId="0" applyNumberFormat="1" applyFont="1" applyFill="1" applyBorder="1" applyAlignment="1">
      <alignment horizontal="right" vertical="center" wrapText="1"/>
    </xf>
    <xf numFmtId="3" fontId="62" fillId="28" borderId="1" xfId="0" applyNumberFormat="1" applyFont="1" applyFill="1" applyBorder="1" applyAlignment="1">
      <alignment horizontal="right" vertical="center" wrapText="1"/>
    </xf>
    <xf numFmtId="3" fontId="62" fillId="27" borderId="1" xfId="0" applyNumberFormat="1" applyFont="1" applyFill="1" applyBorder="1" applyAlignment="1">
      <alignment horizontal="right" vertical="center" wrapText="1"/>
    </xf>
    <xf numFmtId="3" fontId="61" fillId="2" borderId="1" xfId="0" applyNumberFormat="1" applyFont="1" applyFill="1" applyBorder="1" applyAlignment="1" applyProtection="1">
      <alignment horizontal="right" vertical="center" wrapText="1"/>
      <protection locked="0"/>
    </xf>
    <xf numFmtId="3" fontId="62" fillId="2" borderId="1" xfId="0" applyNumberFormat="1" applyFont="1" applyFill="1" applyBorder="1" applyAlignment="1" applyProtection="1">
      <alignment horizontal="right" vertical="center" wrapText="1"/>
      <protection locked="0"/>
    </xf>
    <xf numFmtId="3" fontId="62" fillId="0" borderId="1" xfId="0" applyNumberFormat="1" applyFont="1" applyBorder="1" applyAlignment="1" applyProtection="1">
      <alignment horizontal="right" vertical="center" wrapText="1"/>
      <protection locked="0"/>
    </xf>
    <xf numFmtId="0" fontId="62" fillId="27" borderId="1" xfId="0" applyFont="1" applyFill="1" applyBorder="1" applyAlignment="1">
      <alignment horizontal="right" vertical="center" wrapText="1"/>
    </xf>
    <xf numFmtId="0" fontId="61" fillId="2" borderId="1" xfId="0" applyFont="1" applyFill="1" applyBorder="1" applyAlignment="1">
      <alignment horizontal="right" vertical="center" wrapText="1"/>
    </xf>
    <xf numFmtId="0" fontId="62" fillId="2" borderId="1" xfId="0" applyFont="1" applyFill="1" applyBorder="1" applyAlignment="1">
      <alignment horizontal="right" vertical="center" wrapText="1"/>
    </xf>
    <xf numFmtId="3" fontId="61" fillId="0" borderId="1" xfId="0" applyNumberFormat="1" applyFont="1" applyBorder="1" applyAlignment="1" applyProtection="1">
      <alignment horizontal="right" vertical="center" wrapText="1"/>
      <protection locked="0"/>
    </xf>
    <xf numFmtId="3" fontId="62" fillId="2" borderId="1" xfId="0" applyNumberFormat="1" applyFont="1" applyFill="1" applyBorder="1" applyAlignment="1">
      <alignment horizontal="right" vertical="center" wrapText="1"/>
    </xf>
    <xf numFmtId="0" fontId="62" fillId="2" borderId="1" xfId="0" applyFont="1" applyFill="1" applyBorder="1" applyAlignment="1" applyProtection="1">
      <alignment horizontal="right" vertical="center" wrapText="1"/>
      <protection locked="0"/>
    </xf>
    <xf numFmtId="0" fontId="62" fillId="0" borderId="1" xfId="0" applyFont="1" applyBorder="1" applyAlignment="1">
      <alignment horizontal="right" vertical="center" wrapText="1"/>
    </xf>
    <xf numFmtId="3" fontId="62" fillId="27" borderId="1" xfId="0" applyNumberFormat="1" applyFont="1" applyFill="1" applyBorder="1" applyAlignment="1" applyProtection="1">
      <alignment horizontal="right" vertical="center" wrapText="1"/>
      <protection locked="0"/>
    </xf>
    <xf numFmtId="3" fontId="63" fillId="27" borderId="1" xfId="0" applyNumberFormat="1" applyFont="1" applyFill="1" applyBorder="1" applyAlignment="1">
      <alignment horizontal="right" vertical="center" wrapText="1"/>
    </xf>
    <xf numFmtId="3" fontId="62" fillId="29" borderId="1" xfId="0" applyNumberFormat="1" applyFont="1" applyFill="1" applyBorder="1" applyAlignment="1">
      <alignment horizontal="right" vertical="center" wrapText="1"/>
    </xf>
    <xf numFmtId="4" fontId="64" fillId="0" borderId="0" xfId="0" applyNumberFormat="1" applyFont="1" applyAlignment="1">
      <alignment horizontal="center" vertical="center"/>
    </xf>
    <xf numFmtId="169" fontId="61" fillId="0" borderId="0" xfId="0" applyNumberFormat="1" applyFont="1" applyAlignment="1">
      <alignment horizontal="center" vertical="center"/>
    </xf>
    <xf numFmtId="3" fontId="64" fillId="0" borderId="0" xfId="0" applyNumberFormat="1" applyFont="1" applyAlignment="1">
      <alignment horizontal="center" vertical="center"/>
    </xf>
    <xf numFmtId="3" fontId="64" fillId="0" borderId="0" xfId="0" applyNumberFormat="1" applyFont="1" applyAlignment="1">
      <alignment vertical="center"/>
    </xf>
    <xf numFmtId="3" fontId="65" fillId="0" borderId="1" xfId="0" applyNumberFormat="1" applyFont="1" applyBorder="1" applyAlignment="1">
      <alignment horizontal="center" vertical="center" wrapText="1"/>
    </xf>
    <xf numFmtId="3" fontId="65" fillId="0" borderId="1" xfId="1467" applyNumberFormat="1" applyFont="1" applyBorder="1" applyAlignment="1" applyProtection="1">
      <alignment horizontal="center" vertical="center"/>
      <protection locked="0"/>
    </xf>
    <xf numFmtId="3" fontId="66" fillId="27" borderId="1" xfId="1467" applyNumberFormat="1" applyFont="1" applyFill="1" applyBorder="1" applyAlignment="1">
      <alignment horizontal="center" vertical="center"/>
    </xf>
    <xf numFmtId="3" fontId="66" fillId="27" borderId="1" xfId="1467" applyNumberFormat="1" applyFont="1" applyFill="1" applyBorder="1" applyAlignment="1" applyProtection="1">
      <alignment horizontal="center" vertical="center"/>
      <protection locked="0"/>
    </xf>
    <xf numFmtId="3" fontId="66" fillId="30" borderId="1" xfId="1467" applyNumberFormat="1" applyFont="1" applyFill="1" applyBorder="1" applyAlignment="1">
      <alignment horizontal="center" vertical="center"/>
    </xf>
    <xf numFmtId="0" fontId="67" fillId="0" borderId="0" xfId="1467" applyFont="1" applyAlignment="1">
      <alignment vertical="center"/>
    </xf>
    <xf numFmtId="0" fontId="68" fillId="0" borderId="0" xfId="1467" applyFont="1" applyAlignment="1" applyProtection="1">
      <alignment vertical="center"/>
      <protection locked="0"/>
    </xf>
    <xf numFmtId="0" fontId="67" fillId="0" borderId="0" xfId="0" applyFont="1" applyAlignment="1">
      <alignment vertical="center"/>
    </xf>
    <xf numFmtId="3" fontId="62" fillId="30" borderId="1" xfId="1" applyNumberFormat="1" applyFont="1" applyFill="1" applyBorder="1" applyAlignment="1">
      <alignment horizontal="right" vertical="center"/>
    </xf>
    <xf numFmtId="3" fontId="62" fillId="27" borderId="1" xfId="1" applyNumberFormat="1" applyFont="1" applyFill="1" applyBorder="1" applyAlignment="1">
      <alignment horizontal="right" vertical="center"/>
    </xf>
    <xf numFmtId="3" fontId="61" fillId="2" borderId="1" xfId="1" applyNumberFormat="1" applyFont="1" applyFill="1" applyBorder="1" applyAlignment="1" applyProtection="1">
      <alignment horizontal="right" vertical="center"/>
      <protection locked="0"/>
    </xf>
    <xf numFmtId="3" fontId="62" fillId="27" borderId="1" xfId="1" applyNumberFormat="1" applyFont="1" applyFill="1" applyBorder="1" applyAlignment="1" applyProtection="1">
      <alignment horizontal="right" vertical="center"/>
      <protection locked="0"/>
    </xf>
    <xf numFmtId="3" fontId="62" fillId="29" borderId="1" xfId="1" applyNumberFormat="1" applyFont="1" applyFill="1" applyBorder="1" applyAlignment="1">
      <alignment horizontal="right" vertical="center"/>
    </xf>
    <xf numFmtId="3" fontId="61" fillId="0" borderId="1" xfId="1" applyNumberFormat="1" applyFont="1" applyBorder="1" applyAlignment="1" applyProtection="1">
      <alignment horizontal="right" vertical="center"/>
      <protection locked="0"/>
    </xf>
    <xf numFmtId="3" fontId="62" fillId="30" borderId="1" xfId="1" applyNumberFormat="1" applyFont="1" applyFill="1" applyBorder="1" applyAlignment="1" applyProtection="1">
      <alignment horizontal="right" vertical="center"/>
      <protection locked="0"/>
    </xf>
    <xf numFmtId="0" fontId="61" fillId="0" borderId="0" xfId="0" applyFont="1" applyAlignment="1" applyProtection="1">
      <alignment vertical="center"/>
      <protection locked="0"/>
    </xf>
    <xf numFmtId="3" fontId="62" fillId="27" borderId="2" xfId="1" applyNumberFormat="1" applyFont="1" applyFill="1" applyBorder="1" applyAlignment="1">
      <alignment horizontal="right" vertical="center"/>
    </xf>
    <xf numFmtId="3" fontId="62" fillId="27" borderId="2" xfId="1" applyNumberFormat="1" applyFont="1" applyFill="1" applyBorder="1" applyAlignment="1" applyProtection="1">
      <alignment horizontal="right" vertical="center"/>
      <protection locked="0"/>
    </xf>
    <xf numFmtId="3" fontId="61" fillId="27" borderId="1" xfId="1" applyNumberFormat="1" applyFont="1" applyFill="1" applyBorder="1" applyAlignment="1">
      <alignment horizontal="right" vertical="center"/>
    </xf>
    <xf numFmtId="0" fontId="61" fillId="0" borderId="0" xfId="1467" applyFont="1" applyAlignment="1">
      <alignment horizontal="left" vertical="top" wrapText="1"/>
    </xf>
    <xf numFmtId="3" fontId="62" fillId="27" borderId="1" xfId="6" applyNumberFormat="1" applyFont="1" applyFill="1" applyBorder="1" applyAlignment="1">
      <alignment horizontal="right" vertical="center" wrapText="1"/>
    </xf>
    <xf numFmtId="3" fontId="61" fillId="2" borderId="1" xfId="6" applyNumberFormat="1" applyFont="1" applyFill="1" applyBorder="1" applyAlignment="1">
      <alignment horizontal="right" vertical="center" wrapText="1"/>
    </xf>
    <xf numFmtId="3" fontId="61" fillId="2" borderId="1" xfId="6" applyNumberFormat="1" applyFont="1" applyFill="1" applyBorder="1" applyAlignment="1">
      <alignment horizontal="right" vertical="center"/>
    </xf>
    <xf numFmtId="3" fontId="61" fillId="2" borderId="1" xfId="6" applyNumberFormat="1" applyFont="1" applyFill="1" applyBorder="1" applyAlignment="1" applyProtection="1">
      <alignment horizontal="right" vertical="center"/>
      <protection locked="0"/>
    </xf>
    <xf numFmtId="3" fontId="62" fillId="27" borderId="1" xfId="6" applyNumberFormat="1" applyFont="1" applyFill="1" applyBorder="1" applyAlignment="1">
      <alignment horizontal="right" vertical="center"/>
    </xf>
    <xf numFmtId="3" fontId="62" fillId="27" borderId="1" xfId="0" applyNumberFormat="1" applyFont="1" applyFill="1" applyBorder="1" applyAlignment="1">
      <alignment horizontal="right" vertical="center"/>
    </xf>
    <xf numFmtId="3" fontId="61" fillId="0" borderId="1" xfId="0" applyNumberFormat="1" applyFont="1" applyBorder="1" applyAlignment="1" applyProtection="1">
      <alignment horizontal="right" vertical="center"/>
      <protection locked="0"/>
    </xf>
    <xf numFmtId="3" fontId="61" fillId="0" borderId="1" xfId="0" applyNumberFormat="1" applyFont="1" applyBorder="1" applyAlignment="1">
      <alignment horizontal="right" vertical="center"/>
    </xf>
    <xf numFmtId="3" fontId="61" fillId="2" borderId="1" xfId="0" applyNumberFormat="1" applyFont="1" applyFill="1" applyBorder="1" applyAlignment="1">
      <alignment horizontal="right" vertical="center"/>
    </xf>
    <xf numFmtId="3" fontId="62" fillId="27" borderId="3" xfId="6" applyNumberFormat="1" applyFont="1" applyFill="1" applyBorder="1" applyAlignment="1">
      <alignment horizontal="right" vertical="center" wrapText="1"/>
    </xf>
    <xf numFmtId="3" fontId="62" fillId="27" borderId="5" xfId="6" applyNumberFormat="1" applyFont="1" applyFill="1" applyBorder="1" applyAlignment="1">
      <alignment horizontal="right" vertical="center" wrapText="1"/>
    </xf>
    <xf numFmtId="3" fontId="61" fillId="0" borderId="1" xfId="6" applyNumberFormat="1" applyFont="1" applyBorder="1" applyAlignment="1" applyProtection="1">
      <alignment horizontal="right" vertical="center"/>
      <protection locked="0"/>
    </xf>
    <xf numFmtId="3" fontId="62" fillId="0" borderId="1" xfId="6" applyNumberFormat="1" applyFont="1" applyBorder="1" applyAlignment="1" applyProtection="1">
      <alignment horizontal="right" vertical="center" wrapText="1"/>
      <protection locked="0"/>
    </xf>
    <xf numFmtId="3" fontId="62" fillId="0" borderId="0" xfId="6" applyNumberFormat="1" applyFont="1" applyAlignment="1" applyProtection="1">
      <alignment horizontal="right" vertical="center" wrapText="1"/>
      <protection locked="0"/>
    </xf>
    <xf numFmtId="0" fontId="61" fillId="0" borderId="0" xfId="0" applyFont="1" applyAlignment="1">
      <alignment horizontal="right" vertical="center"/>
    </xf>
    <xf numFmtId="0" fontId="61" fillId="30" borderId="0" xfId="0" applyFont="1" applyFill="1" applyAlignment="1">
      <alignment vertical="center"/>
    </xf>
    <xf numFmtId="3" fontId="62" fillId="0" borderId="1" xfId="6" applyNumberFormat="1" applyFont="1" applyBorder="1" applyAlignment="1" applyProtection="1">
      <alignment horizontal="right" vertical="center"/>
      <protection locked="0"/>
    </xf>
    <xf numFmtId="3" fontId="62" fillId="0" borderId="0" xfId="6" applyNumberFormat="1" applyFont="1" applyAlignment="1" applyProtection="1">
      <alignment horizontal="right" vertical="center"/>
      <protection locked="0"/>
    </xf>
    <xf numFmtId="0" fontId="61" fillId="0" borderId="0" xfId="0" applyFont="1" applyAlignment="1">
      <alignment vertical="center"/>
    </xf>
    <xf numFmtId="49" fontId="34" fillId="0" borderId="3" xfId="0" applyNumberFormat="1" applyFont="1" applyBorder="1" applyAlignment="1">
      <alignment horizontal="center" vertical="center" wrapText="1"/>
    </xf>
    <xf numFmtId="168" fontId="47" fillId="0" borderId="1" xfId="1467" applyNumberFormat="1" applyFont="1" applyBorder="1" applyAlignment="1" applyProtection="1">
      <alignment horizontal="center" vertical="center"/>
      <protection locked="0"/>
    </xf>
    <xf numFmtId="3" fontId="69" fillId="0" borderId="1" xfId="1467" applyNumberFormat="1" applyFont="1" applyBorder="1" applyAlignment="1" applyProtection="1">
      <alignment horizontal="left" vertical="center" wrapText="1"/>
      <protection locked="0"/>
    </xf>
    <xf numFmtId="3" fontId="70" fillId="30" borderId="1" xfId="1467" applyNumberFormat="1" applyFont="1" applyFill="1" applyBorder="1" applyAlignment="1">
      <alignment horizontal="left" vertical="center" wrapText="1"/>
    </xf>
    <xf numFmtId="49" fontId="47" fillId="2" borderId="3" xfId="6" applyNumberFormat="1" applyFont="1" applyFill="1" applyBorder="1" applyAlignment="1">
      <alignment horizontal="left" vertical="center" wrapText="1"/>
    </xf>
    <xf numFmtId="49" fontId="34" fillId="0" borderId="1" xfId="0" applyNumberFormat="1" applyFont="1" applyBorder="1" applyAlignment="1" applyProtection="1">
      <alignment horizontal="left" vertical="center"/>
      <protection locked="0"/>
    </xf>
    <xf numFmtId="49" fontId="34" fillId="0" borderId="3" xfId="6" applyNumberFormat="1" applyFont="1" applyBorder="1" applyAlignment="1">
      <alignment horizontal="left" vertical="center" wrapText="1"/>
    </xf>
    <xf numFmtId="49" fontId="47" fillId="0" borderId="1" xfId="6" applyNumberFormat="1" applyFont="1" applyBorder="1" applyAlignment="1" applyProtection="1">
      <alignment horizontal="left" vertical="center" wrapText="1"/>
      <protection locked="0"/>
    </xf>
    <xf numFmtId="3" fontId="71" fillId="0" borderId="1" xfId="1467" applyNumberFormat="1" applyFont="1" applyBorder="1" applyAlignment="1" applyProtection="1">
      <alignment horizontal="left" vertical="center" wrapText="1"/>
      <protection locked="0"/>
    </xf>
    <xf numFmtId="3" fontId="72" fillId="30" borderId="1" xfId="1467" applyNumberFormat="1" applyFont="1" applyFill="1" applyBorder="1" applyAlignment="1">
      <alignment horizontal="left" vertical="center" wrapText="1"/>
    </xf>
    <xf numFmtId="49" fontId="71" fillId="0" borderId="1" xfId="1" applyNumberFormat="1" applyFont="1" applyBorder="1" applyAlignment="1">
      <alignment horizontal="left" vertical="center" wrapText="1"/>
    </xf>
    <xf numFmtId="49" fontId="56" fillId="27" borderId="1" xfId="1" applyNumberFormat="1" applyFont="1" applyFill="1" applyBorder="1" applyAlignment="1">
      <alignment horizontal="left" vertical="center"/>
    </xf>
    <xf numFmtId="49" fontId="71" fillId="27" borderId="1" xfId="1" applyNumberFormat="1" applyFont="1" applyFill="1" applyBorder="1" applyAlignment="1">
      <alignment horizontal="left" vertical="center" wrapText="1"/>
    </xf>
    <xf numFmtId="3" fontId="56" fillId="0" borderId="1" xfId="0" applyNumberFormat="1" applyFont="1" applyBorder="1" applyAlignment="1">
      <alignment horizontal="left" vertical="center" wrapText="1"/>
    </xf>
    <xf numFmtId="3" fontId="51" fillId="0" borderId="3" xfId="0" applyNumberFormat="1" applyFont="1" applyBorder="1" applyAlignment="1">
      <alignment horizontal="center" vertical="center" wrapText="1"/>
    </xf>
    <xf numFmtId="3" fontId="51" fillId="0" borderId="6" xfId="0" applyNumberFormat="1" applyFont="1" applyBorder="1" applyAlignment="1">
      <alignment horizontal="center" vertical="center" wrapText="1"/>
    </xf>
    <xf numFmtId="3" fontId="51" fillId="0" borderId="5" xfId="0" applyNumberFormat="1" applyFont="1" applyBorder="1" applyAlignment="1">
      <alignment horizontal="center" vertical="center" wrapText="1"/>
    </xf>
    <xf numFmtId="3" fontId="51" fillId="0" borderId="3" xfId="0" applyNumberFormat="1" applyFont="1" applyBorder="1" applyAlignment="1" applyProtection="1">
      <alignment horizontal="center" vertical="center" wrapText="1"/>
      <protection locked="0"/>
    </xf>
    <xf numFmtId="3" fontId="51" fillId="0" borderId="6" xfId="0" applyNumberFormat="1" applyFont="1" applyBorder="1" applyAlignment="1" applyProtection="1">
      <alignment horizontal="center" vertical="center" wrapText="1"/>
      <protection locked="0"/>
    </xf>
    <xf numFmtId="3" fontId="51" fillId="0" borderId="5" xfId="0" applyNumberFormat="1" applyFont="1" applyBorder="1" applyAlignment="1" applyProtection="1">
      <alignment horizontal="center" vertical="center" wrapText="1"/>
      <protection locked="0"/>
    </xf>
    <xf numFmtId="3" fontId="51" fillId="0" borderId="1" xfId="0" applyNumberFormat="1" applyFont="1" applyBorder="1" applyAlignment="1">
      <alignment horizontal="center" vertical="center" wrapText="1"/>
    </xf>
    <xf numFmtId="3" fontId="56" fillId="0" borderId="3" xfId="0" applyNumberFormat="1" applyFont="1" applyBorder="1" applyAlignment="1">
      <alignment horizontal="center" vertical="center" wrapText="1"/>
    </xf>
    <xf numFmtId="3" fontId="56" fillId="0" borderId="6" xfId="0" applyNumberFormat="1" applyFont="1" applyBorder="1" applyAlignment="1">
      <alignment horizontal="center" vertical="center" wrapText="1"/>
    </xf>
    <xf numFmtId="3" fontId="56" fillId="0" borderId="5" xfId="0" applyNumberFormat="1" applyFont="1" applyBorder="1" applyAlignment="1">
      <alignment horizontal="center" vertical="center" wrapText="1"/>
    </xf>
    <xf numFmtId="3" fontId="48" fillId="2" borderId="3" xfId="0" applyNumberFormat="1" applyFont="1" applyFill="1" applyBorder="1" applyAlignment="1">
      <alignment horizontal="center" vertical="center" wrapText="1"/>
    </xf>
    <xf numFmtId="3" fontId="48" fillId="2" borderId="6" xfId="0" applyNumberFormat="1" applyFont="1" applyFill="1" applyBorder="1" applyAlignment="1">
      <alignment horizontal="center" vertical="center" wrapText="1"/>
    </xf>
    <xf numFmtId="3" fontId="48" fillId="2" borderId="5" xfId="0" applyNumberFormat="1" applyFont="1" applyFill="1" applyBorder="1" applyAlignment="1">
      <alignment horizontal="center" vertical="center" wrapText="1"/>
    </xf>
    <xf numFmtId="3" fontId="56" fillId="0" borderId="3" xfId="0" applyNumberFormat="1" applyFont="1" applyBorder="1" applyAlignment="1">
      <alignment horizontal="left" vertical="center" wrapText="1"/>
    </xf>
    <xf numFmtId="3" fontId="56" fillId="0" borderId="6" xfId="0" applyNumberFormat="1" applyFont="1" applyBorder="1" applyAlignment="1">
      <alignment horizontal="left" vertical="center" wrapText="1"/>
    </xf>
    <xf numFmtId="3" fontId="56" fillId="0" borderId="5" xfId="0" applyNumberFormat="1" applyFont="1" applyBorder="1" applyAlignment="1">
      <alignment horizontal="left" vertical="center" wrapText="1"/>
    </xf>
    <xf numFmtId="3" fontId="56" fillId="0" borderId="3" xfId="0" applyNumberFormat="1" applyFont="1" applyBorder="1" applyAlignment="1">
      <alignment vertical="center" wrapText="1"/>
    </xf>
    <xf numFmtId="3" fontId="56" fillId="0" borderId="6" xfId="0" applyNumberFormat="1" applyFont="1" applyBorder="1" applyAlignment="1">
      <alignment vertical="center" wrapText="1"/>
    </xf>
    <xf numFmtId="3" fontId="56" fillId="0" borderId="5" xfId="0" applyNumberFormat="1" applyFont="1" applyBorder="1" applyAlignment="1">
      <alignment vertical="center" wrapText="1"/>
    </xf>
    <xf numFmtId="3" fontId="56" fillId="0" borderId="1" xfId="0" applyNumberFormat="1" applyFont="1" applyBorder="1" applyAlignment="1">
      <alignment horizontal="center" vertical="center" wrapText="1"/>
    </xf>
    <xf numFmtId="3" fontId="56" fillId="0" borderId="3" xfId="0" applyNumberFormat="1" applyFont="1" applyBorder="1" applyAlignment="1" applyProtection="1">
      <alignment horizontal="center" vertical="center" wrapText="1"/>
      <protection locked="0"/>
    </xf>
    <xf numFmtId="3" fontId="56" fillId="0" borderId="6" xfId="0" applyNumberFormat="1" applyFont="1" applyBorder="1" applyAlignment="1" applyProtection="1">
      <alignment horizontal="center" vertical="center" wrapText="1"/>
      <protection locked="0"/>
    </xf>
    <xf numFmtId="3" fontId="56" fillId="0" borderId="5" xfId="0" applyNumberFormat="1" applyFont="1" applyBorder="1" applyAlignment="1" applyProtection="1">
      <alignment horizontal="center" vertical="center" wrapText="1"/>
      <protection locked="0"/>
    </xf>
    <xf numFmtId="3" fontId="47" fillId="0" borderId="0" xfId="0" applyNumberFormat="1" applyFont="1" applyAlignment="1">
      <alignment horizontal="left" vertical="center"/>
    </xf>
    <xf numFmtId="3" fontId="56" fillId="2" borderId="3" xfId="0" applyNumberFormat="1" applyFont="1" applyFill="1" applyBorder="1" applyAlignment="1">
      <alignment horizontal="center" vertical="center" wrapText="1"/>
    </xf>
    <xf numFmtId="3" fontId="56" fillId="2" borderId="6" xfId="0" applyNumberFormat="1" applyFont="1" applyFill="1" applyBorder="1" applyAlignment="1">
      <alignment horizontal="center" vertical="center" wrapText="1"/>
    </xf>
    <xf numFmtId="3" fontId="56" fillId="2" borderId="5" xfId="0" applyNumberFormat="1" applyFont="1" applyFill="1" applyBorder="1" applyAlignment="1">
      <alignment horizontal="center" vertical="center" wrapText="1"/>
    </xf>
    <xf numFmtId="3" fontId="52" fillId="0" borderId="0" xfId="0" applyNumberFormat="1" applyFont="1" applyAlignment="1">
      <alignment horizontal="left" vertical="center"/>
    </xf>
    <xf numFmtId="3" fontId="47" fillId="0" borderId="0" xfId="0" applyNumberFormat="1" applyFont="1" applyAlignment="1">
      <alignment horizontal="left" vertical="top" wrapText="1"/>
    </xf>
    <xf numFmtId="3" fontId="47" fillId="0" borderId="0" xfId="0" applyNumberFormat="1" applyFont="1" applyAlignment="1">
      <alignment horizontal="left" vertical="center" wrapText="1"/>
    </xf>
    <xf numFmtId="0" fontId="47" fillId="0" borderId="0" xfId="1467" applyFont="1" applyAlignment="1">
      <alignment horizontal="left" vertical="top" wrapText="1"/>
    </xf>
    <xf numFmtId="49" fontId="71" fillId="0" borderId="3" xfId="1" applyNumberFormat="1" applyFont="1" applyBorder="1" applyAlignment="1">
      <alignment horizontal="left" vertical="center" wrapText="1"/>
    </xf>
    <xf numFmtId="49" fontId="71" fillId="0" borderId="6" xfId="1" applyNumberFormat="1" applyFont="1" applyBorder="1" applyAlignment="1">
      <alignment horizontal="left" vertical="center" wrapText="1"/>
    </xf>
    <xf numFmtId="49" fontId="71" fillId="0" borderId="5" xfId="1" applyNumberFormat="1" applyFont="1" applyBorder="1" applyAlignment="1">
      <alignment horizontal="left" vertical="center" wrapText="1"/>
    </xf>
    <xf numFmtId="49" fontId="46" fillId="0" borderId="3" xfId="1" applyNumberFormat="1" applyFont="1" applyBorder="1" applyAlignment="1">
      <alignment horizontal="center" vertical="center"/>
    </xf>
    <xf numFmtId="49" fontId="46" fillId="0" borderId="6" xfId="1" applyNumberFormat="1" applyFont="1" applyBorder="1" applyAlignment="1">
      <alignment horizontal="center" vertical="center"/>
    </xf>
    <xf numFmtId="49" fontId="46" fillId="0" borderId="5" xfId="1" applyNumberFormat="1" applyFont="1" applyBorder="1" applyAlignment="1">
      <alignment horizontal="center" vertical="center"/>
    </xf>
    <xf numFmtId="49" fontId="47" fillId="0" borderId="3" xfId="1" applyNumberFormat="1" applyFont="1" applyBorder="1" applyAlignment="1">
      <alignment horizontal="center" vertical="center"/>
    </xf>
    <xf numFmtId="49" fontId="47" fillId="0" borderId="6" xfId="1" applyNumberFormat="1" applyFont="1" applyBorder="1" applyAlignment="1">
      <alignment horizontal="center" vertical="center"/>
    </xf>
    <xf numFmtId="49" fontId="47" fillId="0" borderId="5" xfId="1" applyNumberFormat="1" applyFont="1" applyBorder="1" applyAlignment="1">
      <alignment horizontal="center" vertical="center"/>
    </xf>
    <xf numFmtId="0" fontId="47" fillId="2" borderId="4" xfId="1" applyFont="1" applyFill="1" applyBorder="1" applyAlignment="1" applyProtection="1">
      <alignment horizontal="center" vertical="center"/>
      <protection locked="0"/>
    </xf>
    <xf numFmtId="0" fontId="47" fillId="2" borderId="7" xfId="1" applyFont="1" applyFill="1" applyBorder="1" applyAlignment="1" applyProtection="1">
      <alignment horizontal="center" vertical="center"/>
      <protection locked="0"/>
    </xf>
    <xf numFmtId="49" fontId="46" fillId="0" borderId="1" xfId="1" applyNumberFormat="1" applyFont="1" applyBorder="1" applyAlignment="1">
      <alignment horizontal="center" vertical="center"/>
    </xf>
    <xf numFmtId="49" fontId="34" fillId="0" borderId="3" xfId="1" applyNumberFormat="1" applyFont="1" applyBorder="1" applyAlignment="1">
      <alignment horizontal="center" vertical="center" wrapText="1"/>
    </xf>
    <xf numFmtId="49" fontId="34" fillId="0" borderId="6" xfId="1" applyNumberFormat="1" applyFont="1" applyBorder="1" applyAlignment="1">
      <alignment horizontal="center" vertical="center" wrapText="1"/>
    </xf>
    <xf numFmtId="49" fontId="34" fillId="0" borderId="3" xfId="6" applyNumberFormat="1" applyFont="1" applyBorder="1" applyAlignment="1">
      <alignment horizontal="left" vertical="center" wrapText="1"/>
    </xf>
    <xf numFmtId="49" fontId="34" fillId="0" borderId="6" xfId="6" applyNumberFormat="1" applyFont="1" applyBorder="1" applyAlignment="1">
      <alignment horizontal="left" vertical="center" wrapText="1"/>
    </xf>
    <xf numFmtId="49" fontId="34" fillId="0" borderId="5" xfId="6" applyNumberFormat="1" applyFont="1" applyBorder="1" applyAlignment="1">
      <alignment horizontal="left" vertical="center" wrapText="1"/>
    </xf>
    <xf numFmtId="49" fontId="46" fillId="0" borderId="3" xfId="6" applyNumberFormat="1" applyFont="1" applyBorder="1" applyAlignment="1">
      <alignment horizontal="center" vertical="center"/>
    </xf>
    <xf numFmtId="49" fontId="46" fillId="0" borderId="6" xfId="6" applyNumberFormat="1" applyFont="1" applyBorder="1" applyAlignment="1">
      <alignment horizontal="center" vertical="center"/>
    </xf>
    <xf numFmtId="49" fontId="46" fillId="0" borderId="5" xfId="6" applyNumberFormat="1" applyFont="1" applyBorder="1" applyAlignment="1">
      <alignment horizontal="center" vertical="center"/>
    </xf>
    <xf numFmtId="16" fontId="46" fillId="30" borderId="7" xfId="6" applyNumberFormat="1" applyFont="1" applyFill="1" applyBorder="1" applyAlignment="1">
      <alignment horizontal="left" vertical="center" wrapText="1"/>
    </xf>
  </cellXfs>
  <cellStyles count="1468">
    <cellStyle name="_ieguld.plāns" xfId="13" xr:uid="{00000000-0005-0000-0000-000000000000}"/>
    <cellStyle name="20% - Accent1 10" xfId="14" xr:uid="{00000000-0005-0000-0000-000001000000}"/>
    <cellStyle name="20% - Accent1 10 2" xfId="15" xr:uid="{00000000-0005-0000-0000-000002000000}"/>
    <cellStyle name="20% - Accent1 10 2 2" xfId="16" xr:uid="{00000000-0005-0000-0000-000003000000}"/>
    <cellStyle name="20% - Accent1 10 3" xfId="17" xr:uid="{00000000-0005-0000-0000-000004000000}"/>
    <cellStyle name="20% - Accent1 11" xfId="18" xr:uid="{00000000-0005-0000-0000-000005000000}"/>
    <cellStyle name="20% - Accent1 11 2" xfId="19" xr:uid="{00000000-0005-0000-0000-000006000000}"/>
    <cellStyle name="20% - Accent1 11 2 2" xfId="20" xr:uid="{00000000-0005-0000-0000-000007000000}"/>
    <cellStyle name="20% - Accent1 11 3" xfId="21" xr:uid="{00000000-0005-0000-0000-000008000000}"/>
    <cellStyle name="20% - Accent1 12" xfId="22" xr:uid="{00000000-0005-0000-0000-000009000000}"/>
    <cellStyle name="20% - Accent1 12 2" xfId="23" xr:uid="{00000000-0005-0000-0000-00000A000000}"/>
    <cellStyle name="20% - Accent1 12 2 2" xfId="24" xr:uid="{00000000-0005-0000-0000-00000B000000}"/>
    <cellStyle name="20% - Accent1 12 3" xfId="25" xr:uid="{00000000-0005-0000-0000-00000C000000}"/>
    <cellStyle name="20% - Accent1 13" xfId="26" xr:uid="{00000000-0005-0000-0000-00000D000000}"/>
    <cellStyle name="20% - Accent1 13 2" xfId="27" xr:uid="{00000000-0005-0000-0000-00000E000000}"/>
    <cellStyle name="20% - Accent1 13 2 2" xfId="28" xr:uid="{00000000-0005-0000-0000-00000F000000}"/>
    <cellStyle name="20% - Accent1 13 3" xfId="29" xr:uid="{00000000-0005-0000-0000-000010000000}"/>
    <cellStyle name="20% - Accent1 14" xfId="30" xr:uid="{00000000-0005-0000-0000-000011000000}"/>
    <cellStyle name="20% - Accent1 14 2" xfId="31" xr:uid="{00000000-0005-0000-0000-000012000000}"/>
    <cellStyle name="20% - Accent1 14 2 2" xfId="32" xr:uid="{00000000-0005-0000-0000-000013000000}"/>
    <cellStyle name="20% - Accent1 14 3" xfId="33" xr:uid="{00000000-0005-0000-0000-000014000000}"/>
    <cellStyle name="20% - Accent1 15" xfId="34" xr:uid="{00000000-0005-0000-0000-000015000000}"/>
    <cellStyle name="20% - Accent1 15 2" xfId="35" xr:uid="{00000000-0005-0000-0000-000016000000}"/>
    <cellStyle name="20% - Accent1 15 2 2" xfId="36" xr:uid="{00000000-0005-0000-0000-000017000000}"/>
    <cellStyle name="20% - Accent1 15 3" xfId="37" xr:uid="{00000000-0005-0000-0000-000018000000}"/>
    <cellStyle name="20% - Accent1 16" xfId="38" xr:uid="{00000000-0005-0000-0000-000019000000}"/>
    <cellStyle name="20% - Accent1 2" xfId="39" xr:uid="{00000000-0005-0000-0000-00001A000000}"/>
    <cellStyle name="20% - Accent1 2 2" xfId="40" xr:uid="{00000000-0005-0000-0000-00001B000000}"/>
    <cellStyle name="20% - Accent1 2 2 2" xfId="41" xr:uid="{00000000-0005-0000-0000-00001C000000}"/>
    <cellStyle name="20% - Accent1 2 3" xfId="42" xr:uid="{00000000-0005-0000-0000-00001D000000}"/>
    <cellStyle name="20% - Accent1 3" xfId="43" xr:uid="{00000000-0005-0000-0000-00001E000000}"/>
    <cellStyle name="20% - Accent1 3 2" xfId="44" xr:uid="{00000000-0005-0000-0000-00001F000000}"/>
    <cellStyle name="20% - Accent1 3 2 2" xfId="45" xr:uid="{00000000-0005-0000-0000-000020000000}"/>
    <cellStyle name="20% - Accent1 3 3" xfId="46" xr:uid="{00000000-0005-0000-0000-000021000000}"/>
    <cellStyle name="20% - Accent1 4" xfId="47" xr:uid="{00000000-0005-0000-0000-000022000000}"/>
    <cellStyle name="20% - Accent1 4 2" xfId="48" xr:uid="{00000000-0005-0000-0000-000023000000}"/>
    <cellStyle name="20% - Accent1 4 2 2" xfId="49" xr:uid="{00000000-0005-0000-0000-000024000000}"/>
    <cellStyle name="20% - Accent1 4 3" xfId="50" xr:uid="{00000000-0005-0000-0000-000025000000}"/>
    <cellStyle name="20% - Accent1 5" xfId="51" xr:uid="{00000000-0005-0000-0000-000026000000}"/>
    <cellStyle name="20% - Accent1 5 2" xfId="52" xr:uid="{00000000-0005-0000-0000-000027000000}"/>
    <cellStyle name="20% - Accent1 5 2 2" xfId="53" xr:uid="{00000000-0005-0000-0000-000028000000}"/>
    <cellStyle name="20% - Accent1 5 3" xfId="54" xr:uid="{00000000-0005-0000-0000-000029000000}"/>
    <cellStyle name="20% - Accent1 6" xfId="55" xr:uid="{00000000-0005-0000-0000-00002A000000}"/>
    <cellStyle name="20% - Accent1 6 2" xfId="56" xr:uid="{00000000-0005-0000-0000-00002B000000}"/>
    <cellStyle name="20% - Accent1 6 2 2" xfId="57" xr:uid="{00000000-0005-0000-0000-00002C000000}"/>
    <cellStyle name="20% - Accent1 6 3" xfId="58" xr:uid="{00000000-0005-0000-0000-00002D000000}"/>
    <cellStyle name="20% - Accent1 7" xfId="59" xr:uid="{00000000-0005-0000-0000-00002E000000}"/>
    <cellStyle name="20% - Accent1 7 2" xfId="60" xr:uid="{00000000-0005-0000-0000-00002F000000}"/>
    <cellStyle name="20% - Accent1 7 2 2" xfId="61" xr:uid="{00000000-0005-0000-0000-000030000000}"/>
    <cellStyle name="20% - Accent1 7 3" xfId="62" xr:uid="{00000000-0005-0000-0000-000031000000}"/>
    <cellStyle name="20% - Accent1 8" xfId="63" xr:uid="{00000000-0005-0000-0000-000032000000}"/>
    <cellStyle name="20% - Accent1 8 2" xfId="64" xr:uid="{00000000-0005-0000-0000-000033000000}"/>
    <cellStyle name="20% - Accent1 8 2 2" xfId="65" xr:uid="{00000000-0005-0000-0000-000034000000}"/>
    <cellStyle name="20% - Accent1 8 3" xfId="66" xr:uid="{00000000-0005-0000-0000-000035000000}"/>
    <cellStyle name="20% - Accent1 9" xfId="67" xr:uid="{00000000-0005-0000-0000-000036000000}"/>
    <cellStyle name="20% - Accent1 9 2" xfId="68" xr:uid="{00000000-0005-0000-0000-000037000000}"/>
    <cellStyle name="20% - Accent1 9 2 2" xfId="69" xr:uid="{00000000-0005-0000-0000-000038000000}"/>
    <cellStyle name="20% - Accent1 9 3" xfId="70" xr:uid="{00000000-0005-0000-0000-000039000000}"/>
    <cellStyle name="20% - Accent2 10" xfId="71" xr:uid="{00000000-0005-0000-0000-00003A000000}"/>
    <cellStyle name="20% - Accent2 10 2" xfId="72" xr:uid="{00000000-0005-0000-0000-00003B000000}"/>
    <cellStyle name="20% - Accent2 10 2 2" xfId="73" xr:uid="{00000000-0005-0000-0000-00003C000000}"/>
    <cellStyle name="20% - Accent2 10 3" xfId="74" xr:uid="{00000000-0005-0000-0000-00003D000000}"/>
    <cellStyle name="20% - Accent2 11" xfId="75" xr:uid="{00000000-0005-0000-0000-00003E000000}"/>
    <cellStyle name="20% - Accent2 11 2" xfId="76" xr:uid="{00000000-0005-0000-0000-00003F000000}"/>
    <cellStyle name="20% - Accent2 11 2 2" xfId="77" xr:uid="{00000000-0005-0000-0000-000040000000}"/>
    <cellStyle name="20% - Accent2 11 3" xfId="78" xr:uid="{00000000-0005-0000-0000-000041000000}"/>
    <cellStyle name="20% - Accent2 12" xfId="79" xr:uid="{00000000-0005-0000-0000-000042000000}"/>
    <cellStyle name="20% - Accent2 12 2" xfId="80" xr:uid="{00000000-0005-0000-0000-000043000000}"/>
    <cellStyle name="20% - Accent2 12 2 2" xfId="81" xr:uid="{00000000-0005-0000-0000-000044000000}"/>
    <cellStyle name="20% - Accent2 12 3" xfId="82" xr:uid="{00000000-0005-0000-0000-000045000000}"/>
    <cellStyle name="20% - Accent2 13" xfId="83" xr:uid="{00000000-0005-0000-0000-000046000000}"/>
    <cellStyle name="20% - Accent2 13 2" xfId="84" xr:uid="{00000000-0005-0000-0000-000047000000}"/>
    <cellStyle name="20% - Accent2 13 2 2" xfId="85" xr:uid="{00000000-0005-0000-0000-000048000000}"/>
    <cellStyle name="20% - Accent2 13 3" xfId="86" xr:uid="{00000000-0005-0000-0000-000049000000}"/>
    <cellStyle name="20% - Accent2 14" xfId="87" xr:uid="{00000000-0005-0000-0000-00004A000000}"/>
    <cellStyle name="20% - Accent2 14 2" xfId="88" xr:uid="{00000000-0005-0000-0000-00004B000000}"/>
    <cellStyle name="20% - Accent2 14 2 2" xfId="89" xr:uid="{00000000-0005-0000-0000-00004C000000}"/>
    <cellStyle name="20% - Accent2 14 3" xfId="90" xr:uid="{00000000-0005-0000-0000-00004D000000}"/>
    <cellStyle name="20% - Accent2 15" xfId="91" xr:uid="{00000000-0005-0000-0000-00004E000000}"/>
    <cellStyle name="20% - Accent2 15 2" xfId="92" xr:uid="{00000000-0005-0000-0000-00004F000000}"/>
    <cellStyle name="20% - Accent2 15 2 2" xfId="93" xr:uid="{00000000-0005-0000-0000-000050000000}"/>
    <cellStyle name="20% - Accent2 15 3" xfId="94" xr:uid="{00000000-0005-0000-0000-000051000000}"/>
    <cellStyle name="20% - Accent2 16" xfId="95" xr:uid="{00000000-0005-0000-0000-000052000000}"/>
    <cellStyle name="20% - Accent2 2" xfId="96" xr:uid="{00000000-0005-0000-0000-000053000000}"/>
    <cellStyle name="20% - Accent2 2 2" xfId="97" xr:uid="{00000000-0005-0000-0000-000054000000}"/>
    <cellStyle name="20% - Accent2 2 2 2" xfId="98" xr:uid="{00000000-0005-0000-0000-000055000000}"/>
    <cellStyle name="20% - Accent2 2 3" xfId="99" xr:uid="{00000000-0005-0000-0000-000056000000}"/>
    <cellStyle name="20% - Accent2 3" xfId="100" xr:uid="{00000000-0005-0000-0000-000057000000}"/>
    <cellStyle name="20% - Accent2 3 2" xfId="101" xr:uid="{00000000-0005-0000-0000-000058000000}"/>
    <cellStyle name="20% - Accent2 3 2 2" xfId="102" xr:uid="{00000000-0005-0000-0000-000059000000}"/>
    <cellStyle name="20% - Accent2 3 3" xfId="103" xr:uid="{00000000-0005-0000-0000-00005A000000}"/>
    <cellStyle name="20% - Accent2 4" xfId="104" xr:uid="{00000000-0005-0000-0000-00005B000000}"/>
    <cellStyle name="20% - Accent2 4 2" xfId="105" xr:uid="{00000000-0005-0000-0000-00005C000000}"/>
    <cellStyle name="20% - Accent2 4 2 2" xfId="106" xr:uid="{00000000-0005-0000-0000-00005D000000}"/>
    <cellStyle name="20% - Accent2 4 3" xfId="107" xr:uid="{00000000-0005-0000-0000-00005E000000}"/>
    <cellStyle name="20% - Accent2 5" xfId="108" xr:uid="{00000000-0005-0000-0000-00005F000000}"/>
    <cellStyle name="20% - Accent2 5 2" xfId="109" xr:uid="{00000000-0005-0000-0000-000060000000}"/>
    <cellStyle name="20% - Accent2 5 2 2" xfId="110" xr:uid="{00000000-0005-0000-0000-000061000000}"/>
    <cellStyle name="20% - Accent2 5 3" xfId="111" xr:uid="{00000000-0005-0000-0000-000062000000}"/>
    <cellStyle name="20% - Accent2 6" xfId="112" xr:uid="{00000000-0005-0000-0000-000063000000}"/>
    <cellStyle name="20% - Accent2 6 2" xfId="113" xr:uid="{00000000-0005-0000-0000-000064000000}"/>
    <cellStyle name="20% - Accent2 6 2 2" xfId="114" xr:uid="{00000000-0005-0000-0000-000065000000}"/>
    <cellStyle name="20% - Accent2 6 3" xfId="115" xr:uid="{00000000-0005-0000-0000-000066000000}"/>
    <cellStyle name="20% - Accent2 7" xfId="116" xr:uid="{00000000-0005-0000-0000-000067000000}"/>
    <cellStyle name="20% - Accent2 7 2" xfId="117" xr:uid="{00000000-0005-0000-0000-000068000000}"/>
    <cellStyle name="20% - Accent2 7 2 2" xfId="118" xr:uid="{00000000-0005-0000-0000-000069000000}"/>
    <cellStyle name="20% - Accent2 7 3" xfId="119" xr:uid="{00000000-0005-0000-0000-00006A000000}"/>
    <cellStyle name="20% - Accent2 8" xfId="120" xr:uid="{00000000-0005-0000-0000-00006B000000}"/>
    <cellStyle name="20% - Accent2 8 2" xfId="121" xr:uid="{00000000-0005-0000-0000-00006C000000}"/>
    <cellStyle name="20% - Accent2 8 2 2" xfId="122" xr:uid="{00000000-0005-0000-0000-00006D000000}"/>
    <cellStyle name="20% - Accent2 8 3" xfId="123" xr:uid="{00000000-0005-0000-0000-00006E000000}"/>
    <cellStyle name="20% - Accent2 9" xfId="124" xr:uid="{00000000-0005-0000-0000-00006F000000}"/>
    <cellStyle name="20% - Accent2 9 2" xfId="125" xr:uid="{00000000-0005-0000-0000-000070000000}"/>
    <cellStyle name="20% - Accent2 9 2 2" xfId="126" xr:uid="{00000000-0005-0000-0000-000071000000}"/>
    <cellStyle name="20% - Accent2 9 3" xfId="127" xr:uid="{00000000-0005-0000-0000-000072000000}"/>
    <cellStyle name="20% - Accent3 10" xfId="128" xr:uid="{00000000-0005-0000-0000-000073000000}"/>
    <cellStyle name="20% - Accent3 10 2" xfId="129" xr:uid="{00000000-0005-0000-0000-000074000000}"/>
    <cellStyle name="20% - Accent3 10 2 2" xfId="130" xr:uid="{00000000-0005-0000-0000-000075000000}"/>
    <cellStyle name="20% - Accent3 10 3" xfId="131" xr:uid="{00000000-0005-0000-0000-000076000000}"/>
    <cellStyle name="20% - Accent3 11" xfId="132" xr:uid="{00000000-0005-0000-0000-000077000000}"/>
    <cellStyle name="20% - Accent3 11 2" xfId="133" xr:uid="{00000000-0005-0000-0000-000078000000}"/>
    <cellStyle name="20% - Accent3 11 2 2" xfId="134" xr:uid="{00000000-0005-0000-0000-000079000000}"/>
    <cellStyle name="20% - Accent3 11 3" xfId="135" xr:uid="{00000000-0005-0000-0000-00007A000000}"/>
    <cellStyle name="20% - Accent3 12" xfId="136" xr:uid="{00000000-0005-0000-0000-00007B000000}"/>
    <cellStyle name="20% - Accent3 12 2" xfId="137" xr:uid="{00000000-0005-0000-0000-00007C000000}"/>
    <cellStyle name="20% - Accent3 12 2 2" xfId="138" xr:uid="{00000000-0005-0000-0000-00007D000000}"/>
    <cellStyle name="20% - Accent3 12 3" xfId="139" xr:uid="{00000000-0005-0000-0000-00007E000000}"/>
    <cellStyle name="20% - Accent3 13" xfId="140" xr:uid="{00000000-0005-0000-0000-00007F000000}"/>
    <cellStyle name="20% - Accent3 13 2" xfId="141" xr:uid="{00000000-0005-0000-0000-000080000000}"/>
    <cellStyle name="20% - Accent3 13 2 2" xfId="142" xr:uid="{00000000-0005-0000-0000-000081000000}"/>
    <cellStyle name="20% - Accent3 13 3" xfId="143" xr:uid="{00000000-0005-0000-0000-000082000000}"/>
    <cellStyle name="20% - Accent3 14" xfId="144" xr:uid="{00000000-0005-0000-0000-000083000000}"/>
    <cellStyle name="20% - Accent3 14 2" xfId="145" xr:uid="{00000000-0005-0000-0000-000084000000}"/>
    <cellStyle name="20% - Accent3 14 2 2" xfId="146" xr:uid="{00000000-0005-0000-0000-000085000000}"/>
    <cellStyle name="20% - Accent3 14 3" xfId="147" xr:uid="{00000000-0005-0000-0000-000086000000}"/>
    <cellStyle name="20% - Accent3 15" xfId="148" xr:uid="{00000000-0005-0000-0000-000087000000}"/>
    <cellStyle name="20% - Accent3 15 2" xfId="149" xr:uid="{00000000-0005-0000-0000-000088000000}"/>
    <cellStyle name="20% - Accent3 15 2 2" xfId="150" xr:uid="{00000000-0005-0000-0000-000089000000}"/>
    <cellStyle name="20% - Accent3 15 3" xfId="151" xr:uid="{00000000-0005-0000-0000-00008A000000}"/>
    <cellStyle name="20% - Accent3 16" xfId="152" xr:uid="{00000000-0005-0000-0000-00008B000000}"/>
    <cellStyle name="20% - Accent3 2" xfId="153" xr:uid="{00000000-0005-0000-0000-00008C000000}"/>
    <cellStyle name="20% - Accent3 2 2" xfId="154" xr:uid="{00000000-0005-0000-0000-00008D000000}"/>
    <cellStyle name="20% - Accent3 2 2 2" xfId="155" xr:uid="{00000000-0005-0000-0000-00008E000000}"/>
    <cellStyle name="20% - Accent3 2 3" xfId="156" xr:uid="{00000000-0005-0000-0000-00008F000000}"/>
    <cellStyle name="20% - Accent3 3" xfId="157" xr:uid="{00000000-0005-0000-0000-000090000000}"/>
    <cellStyle name="20% - Accent3 3 2" xfId="158" xr:uid="{00000000-0005-0000-0000-000091000000}"/>
    <cellStyle name="20% - Accent3 3 2 2" xfId="159" xr:uid="{00000000-0005-0000-0000-000092000000}"/>
    <cellStyle name="20% - Accent3 3 3" xfId="160" xr:uid="{00000000-0005-0000-0000-000093000000}"/>
    <cellStyle name="20% - Accent3 4" xfId="161" xr:uid="{00000000-0005-0000-0000-000094000000}"/>
    <cellStyle name="20% - Accent3 4 2" xfId="162" xr:uid="{00000000-0005-0000-0000-000095000000}"/>
    <cellStyle name="20% - Accent3 4 2 2" xfId="163" xr:uid="{00000000-0005-0000-0000-000096000000}"/>
    <cellStyle name="20% - Accent3 4 3" xfId="164" xr:uid="{00000000-0005-0000-0000-000097000000}"/>
    <cellStyle name="20% - Accent3 5" xfId="165" xr:uid="{00000000-0005-0000-0000-000098000000}"/>
    <cellStyle name="20% - Accent3 5 2" xfId="166" xr:uid="{00000000-0005-0000-0000-000099000000}"/>
    <cellStyle name="20% - Accent3 5 2 2" xfId="167" xr:uid="{00000000-0005-0000-0000-00009A000000}"/>
    <cellStyle name="20% - Accent3 5 3" xfId="168" xr:uid="{00000000-0005-0000-0000-00009B000000}"/>
    <cellStyle name="20% - Accent3 6" xfId="169" xr:uid="{00000000-0005-0000-0000-00009C000000}"/>
    <cellStyle name="20% - Accent3 6 2" xfId="170" xr:uid="{00000000-0005-0000-0000-00009D000000}"/>
    <cellStyle name="20% - Accent3 6 2 2" xfId="171" xr:uid="{00000000-0005-0000-0000-00009E000000}"/>
    <cellStyle name="20% - Accent3 6 3" xfId="172" xr:uid="{00000000-0005-0000-0000-00009F000000}"/>
    <cellStyle name="20% - Accent3 7" xfId="173" xr:uid="{00000000-0005-0000-0000-0000A0000000}"/>
    <cellStyle name="20% - Accent3 7 2" xfId="174" xr:uid="{00000000-0005-0000-0000-0000A1000000}"/>
    <cellStyle name="20% - Accent3 7 2 2" xfId="175" xr:uid="{00000000-0005-0000-0000-0000A2000000}"/>
    <cellStyle name="20% - Accent3 7 3" xfId="176" xr:uid="{00000000-0005-0000-0000-0000A3000000}"/>
    <cellStyle name="20% - Accent3 8" xfId="177" xr:uid="{00000000-0005-0000-0000-0000A4000000}"/>
    <cellStyle name="20% - Accent3 8 2" xfId="178" xr:uid="{00000000-0005-0000-0000-0000A5000000}"/>
    <cellStyle name="20% - Accent3 8 2 2" xfId="179" xr:uid="{00000000-0005-0000-0000-0000A6000000}"/>
    <cellStyle name="20% - Accent3 8 3" xfId="180" xr:uid="{00000000-0005-0000-0000-0000A7000000}"/>
    <cellStyle name="20% - Accent3 9" xfId="181" xr:uid="{00000000-0005-0000-0000-0000A8000000}"/>
    <cellStyle name="20% - Accent3 9 2" xfId="182" xr:uid="{00000000-0005-0000-0000-0000A9000000}"/>
    <cellStyle name="20% - Accent3 9 2 2" xfId="183" xr:uid="{00000000-0005-0000-0000-0000AA000000}"/>
    <cellStyle name="20% - Accent3 9 3" xfId="184" xr:uid="{00000000-0005-0000-0000-0000AB000000}"/>
    <cellStyle name="20% - Accent4 10" xfId="185" xr:uid="{00000000-0005-0000-0000-0000AC000000}"/>
    <cellStyle name="20% - Accent4 10 2" xfId="186" xr:uid="{00000000-0005-0000-0000-0000AD000000}"/>
    <cellStyle name="20% - Accent4 10 2 2" xfId="187" xr:uid="{00000000-0005-0000-0000-0000AE000000}"/>
    <cellStyle name="20% - Accent4 10 3" xfId="188" xr:uid="{00000000-0005-0000-0000-0000AF000000}"/>
    <cellStyle name="20% - Accent4 11" xfId="189" xr:uid="{00000000-0005-0000-0000-0000B0000000}"/>
    <cellStyle name="20% - Accent4 11 2" xfId="190" xr:uid="{00000000-0005-0000-0000-0000B1000000}"/>
    <cellStyle name="20% - Accent4 11 2 2" xfId="191" xr:uid="{00000000-0005-0000-0000-0000B2000000}"/>
    <cellStyle name="20% - Accent4 11 3" xfId="192" xr:uid="{00000000-0005-0000-0000-0000B3000000}"/>
    <cellStyle name="20% - Accent4 12" xfId="193" xr:uid="{00000000-0005-0000-0000-0000B4000000}"/>
    <cellStyle name="20% - Accent4 12 2" xfId="194" xr:uid="{00000000-0005-0000-0000-0000B5000000}"/>
    <cellStyle name="20% - Accent4 12 2 2" xfId="195" xr:uid="{00000000-0005-0000-0000-0000B6000000}"/>
    <cellStyle name="20% - Accent4 12 3" xfId="196" xr:uid="{00000000-0005-0000-0000-0000B7000000}"/>
    <cellStyle name="20% - Accent4 13" xfId="197" xr:uid="{00000000-0005-0000-0000-0000B8000000}"/>
    <cellStyle name="20% - Accent4 13 2" xfId="198" xr:uid="{00000000-0005-0000-0000-0000B9000000}"/>
    <cellStyle name="20% - Accent4 13 2 2" xfId="199" xr:uid="{00000000-0005-0000-0000-0000BA000000}"/>
    <cellStyle name="20% - Accent4 13 3" xfId="200" xr:uid="{00000000-0005-0000-0000-0000BB000000}"/>
    <cellStyle name="20% - Accent4 14" xfId="201" xr:uid="{00000000-0005-0000-0000-0000BC000000}"/>
    <cellStyle name="20% - Accent4 14 2" xfId="202" xr:uid="{00000000-0005-0000-0000-0000BD000000}"/>
    <cellStyle name="20% - Accent4 14 2 2" xfId="203" xr:uid="{00000000-0005-0000-0000-0000BE000000}"/>
    <cellStyle name="20% - Accent4 14 3" xfId="204" xr:uid="{00000000-0005-0000-0000-0000BF000000}"/>
    <cellStyle name="20% - Accent4 15" xfId="205" xr:uid="{00000000-0005-0000-0000-0000C0000000}"/>
    <cellStyle name="20% - Accent4 15 2" xfId="206" xr:uid="{00000000-0005-0000-0000-0000C1000000}"/>
    <cellStyle name="20% - Accent4 15 2 2" xfId="207" xr:uid="{00000000-0005-0000-0000-0000C2000000}"/>
    <cellStyle name="20% - Accent4 15 3" xfId="208" xr:uid="{00000000-0005-0000-0000-0000C3000000}"/>
    <cellStyle name="20% - Accent4 16" xfId="209" xr:uid="{00000000-0005-0000-0000-0000C4000000}"/>
    <cellStyle name="20% - Accent4 2" xfId="210" xr:uid="{00000000-0005-0000-0000-0000C5000000}"/>
    <cellStyle name="20% - Accent4 2 2" xfId="211" xr:uid="{00000000-0005-0000-0000-0000C6000000}"/>
    <cellStyle name="20% - Accent4 2 2 2" xfId="212" xr:uid="{00000000-0005-0000-0000-0000C7000000}"/>
    <cellStyle name="20% - Accent4 2 3" xfId="213" xr:uid="{00000000-0005-0000-0000-0000C8000000}"/>
    <cellStyle name="20% - Accent4 3" xfId="214" xr:uid="{00000000-0005-0000-0000-0000C9000000}"/>
    <cellStyle name="20% - Accent4 3 2" xfId="215" xr:uid="{00000000-0005-0000-0000-0000CA000000}"/>
    <cellStyle name="20% - Accent4 3 2 2" xfId="216" xr:uid="{00000000-0005-0000-0000-0000CB000000}"/>
    <cellStyle name="20% - Accent4 3 3" xfId="217" xr:uid="{00000000-0005-0000-0000-0000CC000000}"/>
    <cellStyle name="20% - Accent4 4" xfId="218" xr:uid="{00000000-0005-0000-0000-0000CD000000}"/>
    <cellStyle name="20% - Accent4 4 2" xfId="219" xr:uid="{00000000-0005-0000-0000-0000CE000000}"/>
    <cellStyle name="20% - Accent4 4 2 2" xfId="220" xr:uid="{00000000-0005-0000-0000-0000CF000000}"/>
    <cellStyle name="20% - Accent4 4 3" xfId="221" xr:uid="{00000000-0005-0000-0000-0000D0000000}"/>
    <cellStyle name="20% - Accent4 5" xfId="222" xr:uid="{00000000-0005-0000-0000-0000D1000000}"/>
    <cellStyle name="20% - Accent4 5 2" xfId="223" xr:uid="{00000000-0005-0000-0000-0000D2000000}"/>
    <cellStyle name="20% - Accent4 5 2 2" xfId="224" xr:uid="{00000000-0005-0000-0000-0000D3000000}"/>
    <cellStyle name="20% - Accent4 5 3" xfId="225" xr:uid="{00000000-0005-0000-0000-0000D4000000}"/>
    <cellStyle name="20% - Accent4 6" xfId="226" xr:uid="{00000000-0005-0000-0000-0000D5000000}"/>
    <cellStyle name="20% - Accent4 6 2" xfId="227" xr:uid="{00000000-0005-0000-0000-0000D6000000}"/>
    <cellStyle name="20% - Accent4 6 2 2" xfId="228" xr:uid="{00000000-0005-0000-0000-0000D7000000}"/>
    <cellStyle name="20% - Accent4 6 3" xfId="229" xr:uid="{00000000-0005-0000-0000-0000D8000000}"/>
    <cellStyle name="20% - Accent4 7" xfId="230" xr:uid="{00000000-0005-0000-0000-0000D9000000}"/>
    <cellStyle name="20% - Accent4 7 2" xfId="231" xr:uid="{00000000-0005-0000-0000-0000DA000000}"/>
    <cellStyle name="20% - Accent4 7 2 2" xfId="232" xr:uid="{00000000-0005-0000-0000-0000DB000000}"/>
    <cellStyle name="20% - Accent4 7 3" xfId="233" xr:uid="{00000000-0005-0000-0000-0000DC000000}"/>
    <cellStyle name="20% - Accent4 8" xfId="234" xr:uid="{00000000-0005-0000-0000-0000DD000000}"/>
    <cellStyle name="20% - Accent4 8 2" xfId="235" xr:uid="{00000000-0005-0000-0000-0000DE000000}"/>
    <cellStyle name="20% - Accent4 8 2 2" xfId="236" xr:uid="{00000000-0005-0000-0000-0000DF000000}"/>
    <cellStyle name="20% - Accent4 8 3" xfId="237" xr:uid="{00000000-0005-0000-0000-0000E0000000}"/>
    <cellStyle name="20% - Accent4 9" xfId="238" xr:uid="{00000000-0005-0000-0000-0000E1000000}"/>
    <cellStyle name="20% - Accent4 9 2" xfId="239" xr:uid="{00000000-0005-0000-0000-0000E2000000}"/>
    <cellStyle name="20% - Accent4 9 2 2" xfId="240" xr:uid="{00000000-0005-0000-0000-0000E3000000}"/>
    <cellStyle name="20% - Accent4 9 3" xfId="241" xr:uid="{00000000-0005-0000-0000-0000E4000000}"/>
    <cellStyle name="20% - Accent5 10" xfId="242" xr:uid="{00000000-0005-0000-0000-0000E5000000}"/>
    <cellStyle name="20% - Accent5 10 2" xfId="243" xr:uid="{00000000-0005-0000-0000-0000E6000000}"/>
    <cellStyle name="20% - Accent5 10 2 2" xfId="244" xr:uid="{00000000-0005-0000-0000-0000E7000000}"/>
    <cellStyle name="20% - Accent5 10 3" xfId="245" xr:uid="{00000000-0005-0000-0000-0000E8000000}"/>
    <cellStyle name="20% - Accent5 11" xfId="246" xr:uid="{00000000-0005-0000-0000-0000E9000000}"/>
    <cellStyle name="20% - Accent5 11 2" xfId="247" xr:uid="{00000000-0005-0000-0000-0000EA000000}"/>
    <cellStyle name="20% - Accent5 11 2 2" xfId="248" xr:uid="{00000000-0005-0000-0000-0000EB000000}"/>
    <cellStyle name="20% - Accent5 11 3" xfId="249" xr:uid="{00000000-0005-0000-0000-0000EC000000}"/>
    <cellStyle name="20% - Accent5 12" xfId="250" xr:uid="{00000000-0005-0000-0000-0000ED000000}"/>
    <cellStyle name="20% - Accent5 12 2" xfId="251" xr:uid="{00000000-0005-0000-0000-0000EE000000}"/>
    <cellStyle name="20% - Accent5 12 2 2" xfId="252" xr:uid="{00000000-0005-0000-0000-0000EF000000}"/>
    <cellStyle name="20% - Accent5 12 3" xfId="253" xr:uid="{00000000-0005-0000-0000-0000F0000000}"/>
    <cellStyle name="20% - Accent5 13" xfId="254" xr:uid="{00000000-0005-0000-0000-0000F1000000}"/>
    <cellStyle name="20% - Accent5 13 2" xfId="255" xr:uid="{00000000-0005-0000-0000-0000F2000000}"/>
    <cellStyle name="20% - Accent5 13 2 2" xfId="256" xr:uid="{00000000-0005-0000-0000-0000F3000000}"/>
    <cellStyle name="20% - Accent5 13 3" xfId="257" xr:uid="{00000000-0005-0000-0000-0000F4000000}"/>
    <cellStyle name="20% - Accent5 14" xfId="258" xr:uid="{00000000-0005-0000-0000-0000F5000000}"/>
    <cellStyle name="20% - Accent5 14 2" xfId="259" xr:uid="{00000000-0005-0000-0000-0000F6000000}"/>
    <cellStyle name="20% - Accent5 14 2 2" xfId="260" xr:uid="{00000000-0005-0000-0000-0000F7000000}"/>
    <cellStyle name="20% - Accent5 14 3" xfId="261" xr:uid="{00000000-0005-0000-0000-0000F8000000}"/>
    <cellStyle name="20% - Accent5 15" xfId="262" xr:uid="{00000000-0005-0000-0000-0000F9000000}"/>
    <cellStyle name="20% - Accent5 15 2" xfId="263" xr:uid="{00000000-0005-0000-0000-0000FA000000}"/>
    <cellStyle name="20% - Accent5 15 2 2" xfId="264" xr:uid="{00000000-0005-0000-0000-0000FB000000}"/>
    <cellStyle name="20% - Accent5 15 3" xfId="265" xr:uid="{00000000-0005-0000-0000-0000FC000000}"/>
    <cellStyle name="20% - Accent5 16" xfId="266" xr:uid="{00000000-0005-0000-0000-0000FD000000}"/>
    <cellStyle name="20% - Accent5 2" xfId="267" xr:uid="{00000000-0005-0000-0000-0000FE000000}"/>
    <cellStyle name="20% - Accent5 2 2" xfId="268" xr:uid="{00000000-0005-0000-0000-0000FF000000}"/>
    <cellStyle name="20% - Accent5 2 2 2" xfId="269" xr:uid="{00000000-0005-0000-0000-000000010000}"/>
    <cellStyle name="20% - Accent5 2 3" xfId="270" xr:uid="{00000000-0005-0000-0000-000001010000}"/>
    <cellStyle name="20% - Accent5 3" xfId="271" xr:uid="{00000000-0005-0000-0000-000002010000}"/>
    <cellStyle name="20% - Accent5 3 2" xfId="272" xr:uid="{00000000-0005-0000-0000-000003010000}"/>
    <cellStyle name="20% - Accent5 3 2 2" xfId="273" xr:uid="{00000000-0005-0000-0000-000004010000}"/>
    <cellStyle name="20% - Accent5 3 3" xfId="274" xr:uid="{00000000-0005-0000-0000-000005010000}"/>
    <cellStyle name="20% - Accent5 4" xfId="275" xr:uid="{00000000-0005-0000-0000-000006010000}"/>
    <cellStyle name="20% - Accent5 4 2" xfId="276" xr:uid="{00000000-0005-0000-0000-000007010000}"/>
    <cellStyle name="20% - Accent5 4 2 2" xfId="277" xr:uid="{00000000-0005-0000-0000-000008010000}"/>
    <cellStyle name="20% - Accent5 4 3" xfId="278" xr:uid="{00000000-0005-0000-0000-000009010000}"/>
    <cellStyle name="20% - Accent5 5" xfId="279" xr:uid="{00000000-0005-0000-0000-00000A010000}"/>
    <cellStyle name="20% - Accent5 5 2" xfId="280" xr:uid="{00000000-0005-0000-0000-00000B010000}"/>
    <cellStyle name="20% - Accent5 5 2 2" xfId="281" xr:uid="{00000000-0005-0000-0000-00000C010000}"/>
    <cellStyle name="20% - Accent5 5 3" xfId="282" xr:uid="{00000000-0005-0000-0000-00000D010000}"/>
    <cellStyle name="20% - Accent5 6" xfId="283" xr:uid="{00000000-0005-0000-0000-00000E010000}"/>
    <cellStyle name="20% - Accent5 6 2" xfId="284" xr:uid="{00000000-0005-0000-0000-00000F010000}"/>
    <cellStyle name="20% - Accent5 6 2 2" xfId="285" xr:uid="{00000000-0005-0000-0000-000010010000}"/>
    <cellStyle name="20% - Accent5 6 3" xfId="286" xr:uid="{00000000-0005-0000-0000-000011010000}"/>
    <cellStyle name="20% - Accent5 7" xfId="287" xr:uid="{00000000-0005-0000-0000-000012010000}"/>
    <cellStyle name="20% - Accent5 7 2" xfId="288" xr:uid="{00000000-0005-0000-0000-000013010000}"/>
    <cellStyle name="20% - Accent5 7 2 2" xfId="289" xr:uid="{00000000-0005-0000-0000-000014010000}"/>
    <cellStyle name="20% - Accent5 7 3" xfId="290" xr:uid="{00000000-0005-0000-0000-000015010000}"/>
    <cellStyle name="20% - Accent5 8" xfId="291" xr:uid="{00000000-0005-0000-0000-000016010000}"/>
    <cellStyle name="20% - Accent5 8 2" xfId="292" xr:uid="{00000000-0005-0000-0000-000017010000}"/>
    <cellStyle name="20% - Accent5 8 2 2" xfId="293" xr:uid="{00000000-0005-0000-0000-000018010000}"/>
    <cellStyle name="20% - Accent5 8 3" xfId="294" xr:uid="{00000000-0005-0000-0000-000019010000}"/>
    <cellStyle name="20% - Accent5 9" xfId="295" xr:uid="{00000000-0005-0000-0000-00001A010000}"/>
    <cellStyle name="20% - Accent5 9 2" xfId="296" xr:uid="{00000000-0005-0000-0000-00001B010000}"/>
    <cellStyle name="20% - Accent5 9 2 2" xfId="297" xr:uid="{00000000-0005-0000-0000-00001C010000}"/>
    <cellStyle name="20% - Accent5 9 3" xfId="298" xr:uid="{00000000-0005-0000-0000-00001D010000}"/>
    <cellStyle name="20% - Accent6 10" xfId="299" xr:uid="{00000000-0005-0000-0000-00001E010000}"/>
    <cellStyle name="20% - Accent6 10 2" xfId="300" xr:uid="{00000000-0005-0000-0000-00001F010000}"/>
    <cellStyle name="20% - Accent6 10 2 2" xfId="301" xr:uid="{00000000-0005-0000-0000-000020010000}"/>
    <cellStyle name="20% - Accent6 10 3" xfId="302" xr:uid="{00000000-0005-0000-0000-000021010000}"/>
    <cellStyle name="20% - Accent6 11" xfId="303" xr:uid="{00000000-0005-0000-0000-000022010000}"/>
    <cellStyle name="20% - Accent6 11 2" xfId="304" xr:uid="{00000000-0005-0000-0000-000023010000}"/>
    <cellStyle name="20% - Accent6 11 2 2" xfId="305" xr:uid="{00000000-0005-0000-0000-000024010000}"/>
    <cellStyle name="20% - Accent6 11 3" xfId="306" xr:uid="{00000000-0005-0000-0000-000025010000}"/>
    <cellStyle name="20% - Accent6 12" xfId="307" xr:uid="{00000000-0005-0000-0000-000026010000}"/>
    <cellStyle name="20% - Accent6 12 2" xfId="308" xr:uid="{00000000-0005-0000-0000-000027010000}"/>
    <cellStyle name="20% - Accent6 12 2 2" xfId="309" xr:uid="{00000000-0005-0000-0000-000028010000}"/>
    <cellStyle name="20% - Accent6 12 3" xfId="310" xr:uid="{00000000-0005-0000-0000-000029010000}"/>
    <cellStyle name="20% - Accent6 13" xfId="311" xr:uid="{00000000-0005-0000-0000-00002A010000}"/>
    <cellStyle name="20% - Accent6 13 2" xfId="312" xr:uid="{00000000-0005-0000-0000-00002B010000}"/>
    <cellStyle name="20% - Accent6 13 2 2" xfId="313" xr:uid="{00000000-0005-0000-0000-00002C010000}"/>
    <cellStyle name="20% - Accent6 13 3" xfId="314" xr:uid="{00000000-0005-0000-0000-00002D010000}"/>
    <cellStyle name="20% - Accent6 14" xfId="315" xr:uid="{00000000-0005-0000-0000-00002E010000}"/>
    <cellStyle name="20% - Accent6 14 2" xfId="316" xr:uid="{00000000-0005-0000-0000-00002F010000}"/>
    <cellStyle name="20% - Accent6 14 2 2" xfId="317" xr:uid="{00000000-0005-0000-0000-000030010000}"/>
    <cellStyle name="20% - Accent6 14 3" xfId="318" xr:uid="{00000000-0005-0000-0000-000031010000}"/>
    <cellStyle name="20% - Accent6 15" xfId="319" xr:uid="{00000000-0005-0000-0000-000032010000}"/>
    <cellStyle name="20% - Accent6 15 2" xfId="320" xr:uid="{00000000-0005-0000-0000-000033010000}"/>
    <cellStyle name="20% - Accent6 15 2 2" xfId="321" xr:uid="{00000000-0005-0000-0000-000034010000}"/>
    <cellStyle name="20% - Accent6 15 3" xfId="322" xr:uid="{00000000-0005-0000-0000-000035010000}"/>
    <cellStyle name="20% - Accent6 16" xfId="323" xr:uid="{00000000-0005-0000-0000-000036010000}"/>
    <cellStyle name="20% - Accent6 2" xfId="324" xr:uid="{00000000-0005-0000-0000-000037010000}"/>
    <cellStyle name="20% - Accent6 2 2" xfId="325" xr:uid="{00000000-0005-0000-0000-000038010000}"/>
    <cellStyle name="20% - Accent6 2 2 2" xfId="326" xr:uid="{00000000-0005-0000-0000-000039010000}"/>
    <cellStyle name="20% - Accent6 2 3" xfId="327" xr:uid="{00000000-0005-0000-0000-00003A010000}"/>
    <cellStyle name="20% - Accent6 3" xfId="328" xr:uid="{00000000-0005-0000-0000-00003B010000}"/>
    <cellStyle name="20% - Accent6 3 2" xfId="329" xr:uid="{00000000-0005-0000-0000-00003C010000}"/>
    <cellStyle name="20% - Accent6 3 2 2" xfId="330" xr:uid="{00000000-0005-0000-0000-00003D010000}"/>
    <cellStyle name="20% - Accent6 3 3" xfId="331" xr:uid="{00000000-0005-0000-0000-00003E010000}"/>
    <cellStyle name="20% - Accent6 4" xfId="332" xr:uid="{00000000-0005-0000-0000-00003F010000}"/>
    <cellStyle name="20% - Accent6 4 2" xfId="333" xr:uid="{00000000-0005-0000-0000-000040010000}"/>
    <cellStyle name="20% - Accent6 4 2 2" xfId="334" xr:uid="{00000000-0005-0000-0000-000041010000}"/>
    <cellStyle name="20% - Accent6 4 3" xfId="335" xr:uid="{00000000-0005-0000-0000-000042010000}"/>
    <cellStyle name="20% - Accent6 5" xfId="336" xr:uid="{00000000-0005-0000-0000-000043010000}"/>
    <cellStyle name="20% - Accent6 5 2" xfId="337" xr:uid="{00000000-0005-0000-0000-000044010000}"/>
    <cellStyle name="20% - Accent6 5 2 2" xfId="338" xr:uid="{00000000-0005-0000-0000-000045010000}"/>
    <cellStyle name="20% - Accent6 5 3" xfId="339" xr:uid="{00000000-0005-0000-0000-000046010000}"/>
    <cellStyle name="20% - Accent6 6" xfId="340" xr:uid="{00000000-0005-0000-0000-000047010000}"/>
    <cellStyle name="20% - Accent6 6 2" xfId="341" xr:uid="{00000000-0005-0000-0000-000048010000}"/>
    <cellStyle name="20% - Accent6 6 2 2" xfId="342" xr:uid="{00000000-0005-0000-0000-000049010000}"/>
    <cellStyle name="20% - Accent6 6 3" xfId="343" xr:uid="{00000000-0005-0000-0000-00004A010000}"/>
    <cellStyle name="20% - Accent6 7" xfId="344" xr:uid="{00000000-0005-0000-0000-00004B010000}"/>
    <cellStyle name="20% - Accent6 7 2" xfId="345" xr:uid="{00000000-0005-0000-0000-00004C010000}"/>
    <cellStyle name="20% - Accent6 7 2 2" xfId="346" xr:uid="{00000000-0005-0000-0000-00004D010000}"/>
    <cellStyle name="20% - Accent6 7 3" xfId="347" xr:uid="{00000000-0005-0000-0000-00004E010000}"/>
    <cellStyle name="20% - Accent6 8" xfId="348" xr:uid="{00000000-0005-0000-0000-00004F010000}"/>
    <cellStyle name="20% - Accent6 8 2" xfId="349" xr:uid="{00000000-0005-0000-0000-000050010000}"/>
    <cellStyle name="20% - Accent6 8 2 2" xfId="350" xr:uid="{00000000-0005-0000-0000-000051010000}"/>
    <cellStyle name="20% - Accent6 8 3" xfId="351" xr:uid="{00000000-0005-0000-0000-000052010000}"/>
    <cellStyle name="20% - Accent6 9" xfId="352" xr:uid="{00000000-0005-0000-0000-000053010000}"/>
    <cellStyle name="20% - Accent6 9 2" xfId="353" xr:uid="{00000000-0005-0000-0000-000054010000}"/>
    <cellStyle name="20% - Accent6 9 2 2" xfId="354" xr:uid="{00000000-0005-0000-0000-000055010000}"/>
    <cellStyle name="20% - Accent6 9 3" xfId="355" xr:uid="{00000000-0005-0000-0000-000056010000}"/>
    <cellStyle name="40% - Accent1 10" xfId="356" xr:uid="{00000000-0005-0000-0000-000057010000}"/>
    <cellStyle name="40% - Accent1 10 2" xfId="357" xr:uid="{00000000-0005-0000-0000-000058010000}"/>
    <cellStyle name="40% - Accent1 10 2 2" xfId="358" xr:uid="{00000000-0005-0000-0000-000059010000}"/>
    <cellStyle name="40% - Accent1 10 3" xfId="359" xr:uid="{00000000-0005-0000-0000-00005A010000}"/>
    <cellStyle name="40% - Accent1 11" xfId="360" xr:uid="{00000000-0005-0000-0000-00005B010000}"/>
    <cellStyle name="40% - Accent1 11 2" xfId="361" xr:uid="{00000000-0005-0000-0000-00005C010000}"/>
    <cellStyle name="40% - Accent1 11 2 2" xfId="362" xr:uid="{00000000-0005-0000-0000-00005D010000}"/>
    <cellStyle name="40% - Accent1 11 3" xfId="363" xr:uid="{00000000-0005-0000-0000-00005E010000}"/>
    <cellStyle name="40% - Accent1 12" xfId="364" xr:uid="{00000000-0005-0000-0000-00005F010000}"/>
    <cellStyle name="40% - Accent1 12 2" xfId="365" xr:uid="{00000000-0005-0000-0000-000060010000}"/>
    <cellStyle name="40% - Accent1 12 2 2" xfId="366" xr:uid="{00000000-0005-0000-0000-000061010000}"/>
    <cellStyle name="40% - Accent1 12 3" xfId="367" xr:uid="{00000000-0005-0000-0000-000062010000}"/>
    <cellStyle name="40% - Accent1 13" xfId="368" xr:uid="{00000000-0005-0000-0000-000063010000}"/>
    <cellStyle name="40% - Accent1 13 2" xfId="369" xr:uid="{00000000-0005-0000-0000-000064010000}"/>
    <cellStyle name="40% - Accent1 13 2 2" xfId="370" xr:uid="{00000000-0005-0000-0000-000065010000}"/>
    <cellStyle name="40% - Accent1 13 3" xfId="371" xr:uid="{00000000-0005-0000-0000-000066010000}"/>
    <cellStyle name="40% - Accent1 14" xfId="372" xr:uid="{00000000-0005-0000-0000-000067010000}"/>
    <cellStyle name="40% - Accent1 14 2" xfId="373" xr:uid="{00000000-0005-0000-0000-000068010000}"/>
    <cellStyle name="40% - Accent1 14 2 2" xfId="374" xr:uid="{00000000-0005-0000-0000-000069010000}"/>
    <cellStyle name="40% - Accent1 14 3" xfId="375" xr:uid="{00000000-0005-0000-0000-00006A010000}"/>
    <cellStyle name="40% - Accent1 15" xfId="376" xr:uid="{00000000-0005-0000-0000-00006B010000}"/>
    <cellStyle name="40% - Accent1 15 2" xfId="377" xr:uid="{00000000-0005-0000-0000-00006C010000}"/>
    <cellStyle name="40% - Accent1 15 2 2" xfId="378" xr:uid="{00000000-0005-0000-0000-00006D010000}"/>
    <cellStyle name="40% - Accent1 15 3" xfId="379" xr:uid="{00000000-0005-0000-0000-00006E010000}"/>
    <cellStyle name="40% - Accent1 16" xfId="380" xr:uid="{00000000-0005-0000-0000-00006F010000}"/>
    <cellStyle name="40% - Accent1 2" xfId="381" xr:uid="{00000000-0005-0000-0000-000070010000}"/>
    <cellStyle name="40% - Accent1 2 2" xfId="382" xr:uid="{00000000-0005-0000-0000-000071010000}"/>
    <cellStyle name="40% - Accent1 2 2 2" xfId="383" xr:uid="{00000000-0005-0000-0000-000072010000}"/>
    <cellStyle name="40% - Accent1 2 3" xfId="384" xr:uid="{00000000-0005-0000-0000-000073010000}"/>
    <cellStyle name="40% - Accent1 3" xfId="385" xr:uid="{00000000-0005-0000-0000-000074010000}"/>
    <cellStyle name="40% - Accent1 3 2" xfId="386" xr:uid="{00000000-0005-0000-0000-000075010000}"/>
    <cellStyle name="40% - Accent1 3 2 2" xfId="387" xr:uid="{00000000-0005-0000-0000-000076010000}"/>
    <cellStyle name="40% - Accent1 3 3" xfId="388" xr:uid="{00000000-0005-0000-0000-000077010000}"/>
    <cellStyle name="40% - Accent1 4" xfId="389" xr:uid="{00000000-0005-0000-0000-000078010000}"/>
    <cellStyle name="40% - Accent1 4 2" xfId="390" xr:uid="{00000000-0005-0000-0000-000079010000}"/>
    <cellStyle name="40% - Accent1 4 2 2" xfId="391" xr:uid="{00000000-0005-0000-0000-00007A010000}"/>
    <cellStyle name="40% - Accent1 4 3" xfId="392" xr:uid="{00000000-0005-0000-0000-00007B010000}"/>
    <cellStyle name="40% - Accent1 5" xfId="393" xr:uid="{00000000-0005-0000-0000-00007C010000}"/>
    <cellStyle name="40% - Accent1 5 2" xfId="394" xr:uid="{00000000-0005-0000-0000-00007D010000}"/>
    <cellStyle name="40% - Accent1 5 2 2" xfId="395" xr:uid="{00000000-0005-0000-0000-00007E010000}"/>
    <cellStyle name="40% - Accent1 5 3" xfId="396" xr:uid="{00000000-0005-0000-0000-00007F010000}"/>
    <cellStyle name="40% - Accent1 6" xfId="397" xr:uid="{00000000-0005-0000-0000-000080010000}"/>
    <cellStyle name="40% - Accent1 6 2" xfId="398" xr:uid="{00000000-0005-0000-0000-000081010000}"/>
    <cellStyle name="40% - Accent1 6 2 2" xfId="399" xr:uid="{00000000-0005-0000-0000-000082010000}"/>
    <cellStyle name="40% - Accent1 6 3" xfId="400" xr:uid="{00000000-0005-0000-0000-000083010000}"/>
    <cellStyle name="40% - Accent1 7" xfId="401" xr:uid="{00000000-0005-0000-0000-000084010000}"/>
    <cellStyle name="40% - Accent1 7 2" xfId="402" xr:uid="{00000000-0005-0000-0000-000085010000}"/>
    <cellStyle name="40% - Accent1 7 2 2" xfId="403" xr:uid="{00000000-0005-0000-0000-000086010000}"/>
    <cellStyle name="40% - Accent1 7 3" xfId="404" xr:uid="{00000000-0005-0000-0000-000087010000}"/>
    <cellStyle name="40% - Accent1 8" xfId="405" xr:uid="{00000000-0005-0000-0000-000088010000}"/>
    <cellStyle name="40% - Accent1 8 2" xfId="406" xr:uid="{00000000-0005-0000-0000-000089010000}"/>
    <cellStyle name="40% - Accent1 8 2 2" xfId="407" xr:uid="{00000000-0005-0000-0000-00008A010000}"/>
    <cellStyle name="40% - Accent1 8 3" xfId="408" xr:uid="{00000000-0005-0000-0000-00008B010000}"/>
    <cellStyle name="40% - Accent1 9" xfId="409" xr:uid="{00000000-0005-0000-0000-00008C010000}"/>
    <cellStyle name="40% - Accent1 9 2" xfId="410" xr:uid="{00000000-0005-0000-0000-00008D010000}"/>
    <cellStyle name="40% - Accent1 9 2 2" xfId="411" xr:uid="{00000000-0005-0000-0000-00008E010000}"/>
    <cellStyle name="40% - Accent1 9 3" xfId="412" xr:uid="{00000000-0005-0000-0000-00008F010000}"/>
    <cellStyle name="40% - Accent2 10" xfId="413" xr:uid="{00000000-0005-0000-0000-000090010000}"/>
    <cellStyle name="40% - Accent2 10 2" xfId="414" xr:uid="{00000000-0005-0000-0000-000091010000}"/>
    <cellStyle name="40% - Accent2 10 2 2" xfId="415" xr:uid="{00000000-0005-0000-0000-000092010000}"/>
    <cellStyle name="40% - Accent2 10 3" xfId="416" xr:uid="{00000000-0005-0000-0000-000093010000}"/>
    <cellStyle name="40% - Accent2 11" xfId="417" xr:uid="{00000000-0005-0000-0000-000094010000}"/>
    <cellStyle name="40% - Accent2 11 2" xfId="418" xr:uid="{00000000-0005-0000-0000-000095010000}"/>
    <cellStyle name="40% - Accent2 11 2 2" xfId="419" xr:uid="{00000000-0005-0000-0000-000096010000}"/>
    <cellStyle name="40% - Accent2 11 3" xfId="420" xr:uid="{00000000-0005-0000-0000-000097010000}"/>
    <cellStyle name="40% - Accent2 12" xfId="421" xr:uid="{00000000-0005-0000-0000-000098010000}"/>
    <cellStyle name="40% - Accent2 12 2" xfId="422" xr:uid="{00000000-0005-0000-0000-000099010000}"/>
    <cellStyle name="40% - Accent2 12 2 2" xfId="423" xr:uid="{00000000-0005-0000-0000-00009A010000}"/>
    <cellStyle name="40% - Accent2 12 3" xfId="424" xr:uid="{00000000-0005-0000-0000-00009B010000}"/>
    <cellStyle name="40% - Accent2 13" xfId="425" xr:uid="{00000000-0005-0000-0000-00009C010000}"/>
    <cellStyle name="40% - Accent2 13 2" xfId="426" xr:uid="{00000000-0005-0000-0000-00009D010000}"/>
    <cellStyle name="40% - Accent2 13 2 2" xfId="427" xr:uid="{00000000-0005-0000-0000-00009E010000}"/>
    <cellStyle name="40% - Accent2 13 3" xfId="428" xr:uid="{00000000-0005-0000-0000-00009F010000}"/>
    <cellStyle name="40% - Accent2 14" xfId="429" xr:uid="{00000000-0005-0000-0000-0000A0010000}"/>
    <cellStyle name="40% - Accent2 14 2" xfId="430" xr:uid="{00000000-0005-0000-0000-0000A1010000}"/>
    <cellStyle name="40% - Accent2 14 2 2" xfId="431" xr:uid="{00000000-0005-0000-0000-0000A2010000}"/>
    <cellStyle name="40% - Accent2 14 3" xfId="432" xr:uid="{00000000-0005-0000-0000-0000A3010000}"/>
    <cellStyle name="40% - Accent2 15" xfId="433" xr:uid="{00000000-0005-0000-0000-0000A4010000}"/>
    <cellStyle name="40% - Accent2 15 2" xfId="434" xr:uid="{00000000-0005-0000-0000-0000A5010000}"/>
    <cellStyle name="40% - Accent2 15 2 2" xfId="435" xr:uid="{00000000-0005-0000-0000-0000A6010000}"/>
    <cellStyle name="40% - Accent2 15 3" xfId="436" xr:uid="{00000000-0005-0000-0000-0000A7010000}"/>
    <cellStyle name="40% - Accent2 16" xfId="437" xr:uid="{00000000-0005-0000-0000-0000A8010000}"/>
    <cellStyle name="40% - Accent2 2" xfId="438" xr:uid="{00000000-0005-0000-0000-0000A9010000}"/>
    <cellStyle name="40% - Accent2 2 2" xfId="439" xr:uid="{00000000-0005-0000-0000-0000AA010000}"/>
    <cellStyle name="40% - Accent2 2 2 2" xfId="440" xr:uid="{00000000-0005-0000-0000-0000AB010000}"/>
    <cellStyle name="40% - Accent2 2 3" xfId="441" xr:uid="{00000000-0005-0000-0000-0000AC010000}"/>
    <cellStyle name="40% - Accent2 3" xfId="442" xr:uid="{00000000-0005-0000-0000-0000AD010000}"/>
    <cellStyle name="40% - Accent2 3 2" xfId="443" xr:uid="{00000000-0005-0000-0000-0000AE010000}"/>
    <cellStyle name="40% - Accent2 3 2 2" xfId="444" xr:uid="{00000000-0005-0000-0000-0000AF010000}"/>
    <cellStyle name="40% - Accent2 3 3" xfId="445" xr:uid="{00000000-0005-0000-0000-0000B0010000}"/>
    <cellStyle name="40% - Accent2 4" xfId="446" xr:uid="{00000000-0005-0000-0000-0000B1010000}"/>
    <cellStyle name="40% - Accent2 4 2" xfId="447" xr:uid="{00000000-0005-0000-0000-0000B2010000}"/>
    <cellStyle name="40% - Accent2 4 2 2" xfId="448" xr:uid="{00000000-0005-0000-0000-0000B3010000}"/>
    <cellStyle name="40% - Accent2 4 3" xfId="449" xr:uid="{00000000-0005-0000-0000-0000B4010000}"/>
    <cellStyle name="40% - Accent2 5" xfId="450" xr:uid="{00000000-0005-0000-0000-0000B5010000}"/>
    <cellStyle name="40% - Accent2 5 2" xfId="451" xr:uid="{00000000-0005-0000-0000-0000B6010000}"/>
    <cellStyle name="40% - Accent2 5 2 2" xfId="452" xr:uid="{00000000-0005-0000-0000-0000B7010000}"/>
    <cellStyle name="40% - Accent2 5 3" xfId="453" xr:uid="{00000000-0005-0000-0000-0000B8010000}"/>
    <cellStyle name="40% - Accent2 6" xfId="454" xr:uid="{00000000-0005-0000-0000-0000B9010000}"/>
    <cellStyle name="40% - Accent2 6 2" xfId="455" xr:uid="{00000000-0005-0000-0000-0000BA010000}"/>
    <cellStyle name="40% - Accent2 6 2 2" xfId="456" xr:uid="{00000000-0005-0000-0000-0000BB010000}"/>
    <cellStyle name="40% - Accent2 6 3" xfId="457" xr:uid="{00000000-0005-0000-0000-0000BC010000}"/>
    <cellStyle name="40% - Accent2 7" xfId="458" xr:uid="{00000000-0005-0000-0000-0000BD010000}"/>
    <cellStyle name="40% - Accent2 7 2" xfId="459" xr:uid="{00000000-0005-0000-0000-0000BE010000}"/>
    <cellStyle name="40% - Accent2 7 2 2" xfId="460" xr:uid="{00000000-0005-0000-0000-0000BF010000}"/>
    <cellStyle name="40% - Accent2 7 3" xfId="461" xr:uid="{00000000-0005-0000-0000-0000C0010000}"/>
    <cellStyle name="40% - Accent2 8" xfId="462" xr:uid="{00000000-0005-0000-0000-0000C1010000}"/>
    <cellStyle name="40% - Accent2 8 2" xfId="463" xr:uid="{00000000-0005-0000-0000-0000C2010000}"/>
    <cellStyle name="40% - Accent2 8 2 2" xfId="464" xr:uid="{00000000-0005-0000-0000-0000C3010000}"/>
    <cellStyle name="40% - Accent2 8 3" xfId="465" xr:uid="{00000000-0005-0000-0000-0000C4010000}"/>
    <cellStyle name="40% - Accent2 9" xfId="466" xr:uid="{00000000-0005-0000-0000-0000C5010000}"/>
    <cellStyle name="40% - Accent2 9 2" xfId="467" xr:uid="{00000000-0005-0000-0000-0000C6010000}"/>
    <cellStyle name="40% - Accent2 9 2 2" xfId="468" xr:uid="{00000000-0005-0000-0000-0000C7010000}"/>
    <cellStyle name="40% - Accent2 9 3" xfId="469" xr:uid="{00000000-0005-0000-0000-0000C8010000}"/>
    <cellStyle name="40% - Accent3 10" xfId="470" xr:uid="{00000000-0005-0000-0000-0000C9010000}"/>
    <cellStyle name="40% - Accent3 10 2" xfId="471" xr:uid="{00000000-0005-0000-0000-0000CA010000}"/>
    <cellStyle name="40% - Accent3 10 2 2" xfId="472" xr:uid="{00000000-0005-0000-0000-0000CB010000}"/>
    <cellStyle name="40% - Accent3 10 3" xfId="473" xr:uid="{00000000-0005-0000-0000-0000CC010000}"/>
    <cellStyle name="40% - Accent3 11" xfId="474" xr:uid="{00000000-0005-0000-0000-0000CD010000}"/>
    <cellStyle name="40% - Accent3 11 2" xfId="475" xr:uid="{00000000-0005-0000-0000-0000CE010000}"/>
    <cellStyle name="40% - Accent3 11 2 2" xfId="476" xr:uid="{00000000-0005-0000-0000-0000CF010000}"/>
    <cellStyle name="40% - Accent3 11 3" xfId="477" xr:uid="{00000000-0005-0000-0000-0000D0010000}"/>
    <cellStyle name="40% - Accent3 12" xfId="478" xr:uid="{00000000-0005-0000-0000-0000D1010000}"/>
    <cellStyle name="40% - Accent3 12 2" xfId="479" xr:uid="{00000000-0005-0000-0000-0000D2010000}"/>
    <cellStyle name="40% - Accent3 12 2 2" xfId="480" xr:uid="{00000000-0005-0000-0000-0000D3010000}"/>
    <cellStyle name="40% - Accent3 12 3" xfId="481" xr:uid="{00000000-0005-0000-0000-0000D4010000}"/>
    <cellStyle name="40% - Accent3 13" xfId="482" xr:uid="{00000000-0005-0000-0000-0000D5010000}"/>
    <cellStyle name="40% - Accent3 13 2" xfId="483" xr:uid="{00000000-0005-0000-0000-0000D6010000}"/>
    <cellStyle name="40% - Accent3 13 2 2" xfId="484" xr:uid="{00000000-0005-0000-0000-0000D7010000}"/>
    <cellStyle name="40% - Accent3 13 3" xfId="485" xr:uid="{00000000-0005-0000-0000-0000D8010000}"/>
    <cellStyle name="40% - Accent3 14" xfId="486" xr:uid="{00000000-0005-0000-0000-0000D9010000}"/>
    <cellStyle name="40% - Accent3 14 2" xfId="487" xr:uid="{00000000-0005-0000-0000-0000DA010000}"/>
    <cellStyle name="40% - Accent3 14 2 2" xfId="488" xr:uid="{00000000-0005-0000-0000-0000DB010000}"/>
    <cellStyle name="40% - Accent3 14 3" xfId="489" xr:uid="{00000000-0005-0000-0000-0000DC010000}"/>
    <cellStyle name="40% - Accent3 15" xfId="490" xr:uid="{00000000-0005-0000-0000-0000DD010000}"/>
    <cellStyle name="40% - Accent3 15 2" xfId="491" xr:uid="{00000000-0005-0000-0000-0000DE010000}"/>
    <cellStyle name="40% - Accent3 15 2 2" xfId="492" xr:uid="{00000000-0005-0000-0000-0000DF010000}"/>
    <cellStyle name="40% - Accent3 15 3" xfId="493" xr:uid="{00000000-0005-0000-0000-0000E0010000}"/>
    <cellStyle name="40% - Accent3 16" xfId="494" xr:uid="{00000000-0005-0000-0000-0000E1010000}"/>
    <cellStyle name="40% - Accent3 2" xfId="495" xr:uid="{00000000-0005-0000-0000-0000E2010000}"/>
    <cellStyle name="40% - Accent3 2 2" xfId="496" xr:uid="{00000000-0005-0000-0000-0000E3010000}"/>
    <cellStyle name="40% - Accent3 2 2 2" xfId="497" xr:uid="{00000000-0005-0000-0000-0000E4010000}"/>
    <cellStyle name="40% - Accent3 2 3" xfId="498" xr:uid="{00000000-0005-0000-0000-0000E5010000}"/>
    <cellStyle name="40% - Accent3 3" xfId="499" xr:uid="{00000000-0005-0000-0000-0000E6010000}"/>
    <cellStyle name="40% - Accent3 3 2" xfId="500" xr:uid="{00000000-0005-0000-0000-0000E7010000}"/>
    <cellStyle name="40% - Accent3 3 2 2" xfId="501" xr:uid="{00000000-0005-0000-0000-0000E8010000}"/>
    <cellStyle name="40% - Accent3 3 3" xfId="502" xr:uid="{00000000-0005-0000-0000-0000E9010000}"/>
    <cellStyle name="40% - Accent3 4" xfId="503" xr:uid="{00000000-0005-0000-0000-0000EA010000}"/>
    <cellStyle name="40% - Accent3 4 2" xfId="504" xr:uid="{00000000-0005-0000-0000-0000EB010000}"/>
    <cellStyle name="40% - Accent3 4 2 2" xfId="505" xr:uid="{00000000-0005-0000-0000-0000EC010000}"/>
    <cellStyle name="40% - Accent3 4 3" xfId="506" xr:uid="{00000000-0005-0000-0000-0000ED010000}"/>
    <cellStyle name="40% - Accent3 5" xfId="507" xr:uid="{00000000-0005-0000-0000-0000EE010000}"/>
    <cellStyle name="40% - Accent3 5 2" xfId="508" xr:uid="{00000000-0005-0000-0000-0000EF010000}"/>
    <cellStyle name="40% - Accent3 5 2 2" xfId="509" xr:uid="{00000000-0005-0000-0000-0000F0010000}"/>
    <cellStyle name="40% - Accent3 5 3" xfId="510" xr:uid="{00000000-0005-0000-0000-0000F1010000}"/>
    <cellStyle name="40% - Accent3 6" xfId="511" xr:uid="{00000000-0005-0000-0000-0000F2010000}"/>
    <cellStyle name="40% - Accent3 6 2" xfId="512" xr:uid="{00000000-0005-0000-0000-0000F3010000}"/>
    <cellStyle name="40% - Accent3 6 2 2" xfId="513" xr:uid="{00000000-0005-0000-0000-0000F4010000}"/>
    <cellStyle name="40% - Accent3 6 3" xfId="514" xr:uid="{00000000-0005-0000-0000-0000F5010000}"/>
    <cellStyle name="40% - Accent3 7" xfId="515" xr:uid="{00000000-0005-0000-0000-0000F6010000}"/>
    <cellStyle name="40% - Accent3 7 2" xfId="516" xr:uid="{00000000-0005-0000-0000-0000F7010000}"/>
    <cellStyle name="40% - Accent3 7 2 2" xfId="517" xr:uid="{00000000-0005-0000-0000-0000F8010000}"/>
    <cellStyle name="40% - Accent3 7 3" xfId="518" xr:uid="{00000000-0005-0000-0000-0000F9010000}"/>
    <cellStyle name="40% - Accent3 8" xfId="519" xr:uid="{00000000-0005-0000-0000-0000FA010000}"/>
    <cellStyle name="40% - Accent3 8 2" xfId="520" xr:uid="{00000000-0005-0000-0000-0000FB010000}"/>
    <cellStyle name="40% - Accent3 8 2 2" xfId="521" xr:uid="{00000000-0005-0000-0000-0000FC010000}"/>
    <cellStyle name="40% - Accent3 8 3" xfId="522" xr:uid="{00000000-0005-0000-0000-0000FD010000}"/>
    <cellStyle name="40% - Accent3 9" xfId="523" xr:uid="{00000000-0005-0000-0000-0000FE010000}"/>
    <cellStyle name="40% - Accent3 9 2" xfId="524" xr:uid="{00000000-0005-0000-0000-0000FF010000}"/>
    <cellStyle name="40% - Accent3 9 2 2" xfId="525" xr:uid="{00000000-0005-0000-0000-000000020000}"/>
    <cellStyle name="40% - Accent3 9 3" xfId="526" xr:uid="{00000000-0005-0000-0000-000001020000}"/>
    <cellStyle name="40% - Accent4 10" xfId="527" xr:uid="{00000000-0005-0000-0000-000002020000}"/>
    <cellStyle name="40% - Accent4 10 2" xfId="528" xr:uid="{00000000-0005-0000-0000-000003020000}"/>
    <cellStyle name="40% - Accent4 10 2 2" xfId="529" xr:uid="{00000000-0005-0000-0000-000004020000}"/>
    <cellStyle name="40% - Accent4 10 3" xfId="530" xr:uid="{00000000-0005-0000-0000-000005020000}"/>
    <cellStyle name="40% - Accent4 11" xfId="531" xr:uid="{00000000-0005-0000-0000-000006020000}"/>
    <cellStyle name="40% - Accent4 11 2" xfId="532" xr:uid="{00000000-0005-0000-0000-000007020000}"/>
    <cellStyle name="40% - Accent4 11 2 2" xfId="533" xr:uid="{00000000-0005-0000-0000-000008020000}"/>
    <cellStyle name="40% - Accent4 11 3" xfId="534" xr:uid="{00000000-0005-0000-0000-000009020000}"/>
    <cellStyle name="40% - Accent4 12" xfId="535" xr:uid="{00000000-0005-0000-0000-00000A020000}"/>
    <cellStyle name="40% - Accent4 12 2" xfId="536" xr:uid="{00000000-0005-0000-0000-00000B020000}"/>
    <cellStyle name="40% - Accent4 12 2 2" xfId="537" xr:uid="{00000000-0005-0000-0000-00000C020000}"/>
    <cellStyle name="40% - Accent4 12 3" xfId="538" xr:uid="{00000000-0005-0000-0000-00000D020000}"/>
    <cellStyle name="40% - Accent4 13" xfId="539" xr:uid="{00000000-0005-0000-0000-00000E020000}"/>
    <cellStyle name="40% - Accent4 13 2" xfId="540" xr:uid="{00000000-0005-0000-0000-00000F020000}"/>
    <cellStyle name="40% - Accent4 13 2 2" xfId="541" xr:uid="{00000000-0005-0000-0000-000010020000}"/>
    <cellStyle name="40% - Accent4 13 3" xfId="542" xr:uid="{00000000-0005-0000-0000-000011020000}"/>
    <cellStyle name="40% - Accent4 14" xfId="543" xr:uid="{00000000-0005-0000-0000-000012020000}"/>
    <cellStyle name="40% - Accent4 14 2" xfId="544" xr:uid="{00000000-0005-0000-0000-000013020000}"/>
    <cellStyle name="40% - Accent4 14 2 2" xfId="545" xr:uid="{00000000-0005-0000-0000-000014020000}"/>
    <cellStyle name="40% - Accent4 14 3" xfId="546" xr:uid="{00000000-0005-0000-0000-000015020000}"/>
    <cellStyle name="40% - Accent4 15" xfId="547" xr:uid="{00000000-0005-0000-0000-000016020000}"/>
    <cellStyle name="40% - Accent4 15 2" xfId="548" xr:uid="{00000000-0005-0000-0000-000017020000}"/>
    <cellStyle name="40% - Accent4 15 2 2" xfId="549" xr:uid="{00000000-0005-0000-0000-000018020000}"/>
    <cellStyle name="40% - Accent4 15 3" xfId="550" xr:uid="{00000000-0005-0000-0000-000019020000}"/>
    <cellStyle name="40% - Accent4 16" xfId="551" xr:uid="{00000000-0005-0000-0000-00001A020000}"/>
    <cellStyle name="40% - Accent4 2" xfId="552" xr:uid="{00000000-0005-0000-0000-00001B020000}"/>
    <cellStyle name="40% - Accent4 2 2" xfId="553" xr:uid="{00000000-0005-0000-0000-00001C020000}"/>
    <cellStyle name="40% - Accent4 2 2 2" xfId="554" xr:uid="{00000000-0005-0000-0000-00001D020000}"/>
    <cellStyle name="40% - Accent4 2 3" xfId="555" xr:uid="{00000000-0005-0000-0000-00001E020000}"/>
    <cellStyle name="40% - Accent4 3" xfId="556" xr:uid="{00000000-0005-0000-0000-00001F020000}"/>
    <cellStyle name="40% - Accent4 3 2" xfId="557" xr:uid="{00000000-0005-0000-0000-000020020000}"/>
    <cellStyle name="40% - Accent4 3 2 2" xfId="558" xr:uid="{00000000-0005-0000-0000-000021020000}"/>
    <cellStyle name="40% - Accent4 3 3" xfId="559" xr:uid="{00000000-0005-0000-0000-000022020000}"/>
    <cellStyle name="40% - Accent4 4" xfId="560" xr:uid="{00000000-0005-0000-0000-000023020000}"/>
    <cellStyle name="40% - Accent4 4 2" xfId="561" xr:uid="{00000000-0005-0000-0000-000024020000}"/>
    <cellStyle name="40% - Accent4 4 2 2" xfId="562" xr:uid="{00000000-0005-0000-0000-000025020000}"/>
    <cellStyle name="40% - Accent4 4 3" xfId="563" xr:uid="{00000000-0005-0000-0000-000026020000}"/>
    <cellStyle name="40% - Accent4 5" xfId="564" xr:uid="{00000000-0005-0000-0000-000027020000}"/>
    <cellStyle name="40% - Accent4 5 2" xfId="565" xr:uid="{00000000-0005-0000-0000-000028020000}"/>
    <cellStyle name="40% - Accent4 5 2 2" xfId="566" xr:uid="{00000000-0005-0000-0000-000029020000}"/>
    <cellStyle name="40% - Accent4 5 3" xfId="567" xr:uid="{00000000-0005-0000-0000-00002A020000}"/>
    <cellStyle name="40% - Accent4 6" xfId="568" xr:uid="{00000000-0005-0000-0000-00002B020000}"/>
    <cellStyle name="40% - Accent4 6 2" xfId="569" xr:uid="{00000000-0005-0000-0000-00002C020000}"/>
    <cellStyle name="40% - Accent4 6 2 2" xfId="570" xr:uid="{00000000-0005-0000-0000-00002D020000}"/>
    <cellStyle name="40% - Accent4 6 3" xfId="571" xr:uid="{00000000-0005-0000-0000-00002E020000}"/>
    <cellStyle name="40% - Accent4 7" xfId="572" xr:uid="{00000000-0005-0000-0000-00002F020000}"/>
    <cellStyle name="40% - Accent4 7 2" xfId="573" xr:uid="{00000000-0005-0000-0000-000030020000}"/>
    <cellStyle name="40% - Accent4 7 2 2" xfId="574" xr:uid="{00000000-0005-0000-0000-000031020000}"/>
    <cellStyle name="40% - Accent4 7 3" xfId="575" xr:uid="{00000000-0005-0000-0000-000032020000}"/>
    <cellStyle name="40% - Accent4 8" xfId="576" xr:uid="{00000000-0005-0000-0000-000033020000}"/>
    <cellStyle name="40% - Accent4 8 2" xfId="577" xr:uid="{00000000-0005-0000-0000-000034020000}"/>
    <cellStyle name="40% - Accent4 8 2 2" xfId="578" xr:uid="{00000000-0005-0000-0000-000035020000}"/>
    <cellStyle name="40% - Accent4 8 3" xfId="579" xr:uid="{00000000-0005-0000-0000-000036020000}"/>
    <cellStyle name="40% - Accent4 9" xfId="580" xr:uid="{00000000-0005-0000-0000-000037020000}"/>
    <cellStyle name="40% - Accent4 9 2" xfId="581" xr:uid="{00000000-0005-0000-0000-000038020000}"/>
    <cellStyle name="40% - Accent4 9 2 2" xfId="582" xr:uid="{00000000-0005-0000-0000-000039020000}"/>
    <cellStyle name="40% - Accent4 9 3" xfId="583" xr:uid="{00000000-0005-0000-0000-00003A020000}"/>
    <cellStyle name="40% - Accent5 10" xfId="584" xr:uid="{00000000-0005-0000-0000-00003B020000}"/>
    <cellStyle name="40% - Accent5 10 2" xfId="585" xr:uid="{00000000-0005-0000-0000-00003C020000}"/>
    <cellStyle name="40% - Accent5 10 2 2" xfId="586" xr:uid="{00000000-0005-0000-0000-00003D020000}"/>
    <cellStyle name="40% - Accent5 10 3" xfId="587" xr:uid="{00000000-0005-0000-0000-00003E020000}"/>
    <cellStyle name="40% - Accent5 11" xfId="588" xr:uid="{00000000-0005-0000-0000-00003F020000}"/>
    <cellStyle name="40% - Accent5 11 2" xfId="589" xr:uid="{00000000-0005-0000-0000-000040020000}"/>
    <cellStyle name="40% - Accent5 11 2 2" xfId="590" xr:uid="{00000000-0005-0000-0000-000041020000}"/>
    <cellStyle name="40% - Accent5 11 3" xfId="591" xr:uid="{00000000-0005-0000-0000-000042020000}"/>
    <cellStyle name="40% - Accent5 12" xfId="592" xr:uid="{00000000-0005-0000-0000-000043020000}"/>
    <cellStyle name="40% - Accent5 12 2" xfId="593" xr:uid="{00000000-0005-0000-0000-000044020000}"/>
    <cellStyle name="40% - Accent5 12 2 2" xfId="594" xr:uid="{00000000-0005-0000-0000-000045020000}"/>
    <cellStyle name="40% - Accent5 12 3" xfId="595" xr:uid="{00000000-0005-0000-0000-000046020000}"/>
    <cellStyle name="40% - Accent5 13" xfId="596" xr:uid="{00000000-0005-0000-0000-000047020000}"/>
    <cellStyle name="40% - Accent5 13 2" xfId="597" xr:uid="{00000000-0005-0000-0000-000048020000}"/>
    <cellStyle name="40% - Accent5 13 2 2" xfId="598" xr:uid="{00000000-0005-0000-0000-000049020000}"/>
    <cellStyle name="40% - Accent5 13 3" xfId="599" xr:uid="{00000000-0005-0000-0000-00004A020000}"/>
    <cellStyle name="40% - Accent5 14" xfId="600" xr:uid="{00000000-0005-0000-0000-00004B020000}"/>
    <cellStyle name="40% - Accent5 14 2" xfId="601" xr:uid="{00000000-0005-0000-0000-00004C020000}"/>
    <cellStyle name="40% - Accent5 14 2 2" xfId="602" xr:uid="{00000000-0005-0000-0000-00004D020000}"/>
    <cellStyle name="40% - Accent5 14 3" xfId="603" xr:uid="{00000000-0005-0000-0000-00004E020000}"/>
    <cellStyle name="40% - Accent5 15" xfId="604" xr:uid="{00000000-0005-0000-0000-00004F020000}"/>
    <cellStyle name="40% - Accent5 15 2" xfId="605" xr:uid="{00000000-0005-0000-0000-000050020000}"/>
    <cellStyle name="40% - Accent5 15 2 2" xfId="606" xr:uid="{00000000-0005-0000-0000-000051020000}"/>
    <cellStyle name="40% - Accent5 15 3" xfId="607" xr:uid="{00000000-0005-0000-0000-000052020000}"/>
    <cellStyle name="40% - Accent5 16" xfId="608" xr:uid="{00000000-0005-0000-0000-000053020000}"/>
    <cellStyle name="40% - Accent5 2" xfId="609" xr:uid="{00000000-0005-0000-0000-000054020000}"/>
    <cellStyle name="40% - Accent5 2 2" xfId="610" xr:uid="{00000000-0005-0000-0000-000055020000}"/>
    <cellStyle name="40% - Accent5 2 2 2" xfId="611" xr:uid="{00000000-0005-0000-0000-000056020000}"/>
    <cellStyle name="40% - Accent5 2 3" xfId="612" xr:uid="{00000000-0005-0000-0000-000057020000}"/>
    <cellStyle name="40% - Accent5 3" xfId="613" xr:uid="{00000000-0005-0000-0000-000058020000}"/>
    <cellStyle name="40% - Accent5 3 2" xfId="614" xr:uid="{00000000-0005-0000-0000-000059020000}"/>
    <cellStyle name="40% - Accent5 3 2 2" xfId="615" xr:uid="{00000000-0005-0000-0000-00005A020000}"/>
    <cellStyle name="40% - Accent5 3 3" xfId="616" xr:uid="{00000000-0005-0000-0000-00005B020000}"/>
    <cellStyle name="40% - Accent5 4" xfId="617" xr:uid="{00000000-0005-0000-0000-00005C020000}"/>
    <cellStyle name="40% - Accent5 4 2" xfId="618" xr:uid="{00000000-0005-0000-0000-00005D020000}"/>
    <cellStyle name="40% - Accent5 4 2 2" xfId="619" xr:uid="{00000000-0005-0000-0000-00005E020000}"/>
    <cellStyle name="40% - Accent5 4 3" xfId="620" xr:uid="{00000000-0005-0000-0000-00005F020000}"/>
    <cellStyle name="40% - Accent5 5" xfId="621" xr:uid="{00000000-0005-0000-0000-000060020000}"/>
    <cellStyle name="40% - Accent5 5 2" xfId="622" xr:uid="{00000000-0005-0000-0000-000061020000}"/>
    <cellStyle name="40% - Accent5 5 2 2" xfId="623" xr:uid="{00000000-0005-0000-0000-000062020000}"/>
    <cellStyle name="40% - Accent5 5 3" xfId="624" xr:uid="{00000000-0005-0000-0000-000063020000}"/>
    <cellStyle name="40% - Accent5 6" xfId="625" xr:uid="{00000000-0005-0000-0000-000064020000}"/>
    <cellStyle name="40% - Accent5 6 2" xfId="626" xr:uid="{00000000-0005-0000-0000-000065020000}"/>
    <cellStyle name="40% - Accent5 6 2 2" xfId="627" xr:uid="{00000000-0005-0000-0000-000066020000}"/>
    <cellStyle name="40% - Accent5 6 3" xfId="628" xr:uid="{00000000-0005-0000-0000-000067020000}"/>
    <cellStyle name="40% - Accent5 7" xfId="629" xr:uid="{00000000-0005-0000-0000-000068020000}"/>
    <cellStyle name="40% - Accent5 7 2" xfId="630" xr:uid="{00000000-0005-0000-0000-000069020000}"/>
    <cellStyle name="40% - Accent5 7 2 2" xfId="631" xr:uid="{00000000-0005-0000-0000-00006A020000}"/>
    <cellStyle name="40% - Accent5 7 3" xfId="632" xr:uid="{00000000-0005-0000-0000-00006B020000}"/>
    <cellStyle name="40% - Accent5 8" xfId="633" xr:uid="{00000000-0005-0000-0000-00006C020000}"/>
    <cellStyle name="40% - Accent5 8 2" xfId="634" xr:uid="{00000000-0005-0000-0000-00006D020000}"/>
    <cellStyle name="40% - Accent5 8 2 2" xfId="635" xr:uid="{00000000-0005-0000-0000-00006E020000}"/>
    <cellStyle name="40% - Accent5 8 3" xfId="636" xr:uid="{00000000-0005-0000-0000-00006F020000}"/>
    <cellStyle name="40% - Accent5 9" xfId="637" xr:uid="{00000000-0005-0000-0000-000070020000}"/>
    <cellStyle name="40% - Accent5 9 2" xfId="638" xr:uid="{00000000-0005-0000-0000-000071020000}"/>
    <cellStyle name="40% - Accent5 9 2 2" xfId="639" xr:uid="{00000000-0005-0000-0000-000072020000}"/>
    <cellStyle name="40% - Accent5 9 3" xfId="640" xr:uid="{00000000-0005-0000-0000-000073020000}"/>
    <cellStyle name="40% - Accent6 10" xfId="641" xr:uid="{00000000-0005-0000-0000-000074020000}"/>
    <cellStyle name="40% - Accent6 10 2" xfId="642" xr:uid="{00000000-0005-0000-0000-000075020000}"/>
    <cellStyle name="40% - Accent6 10 2 2" xfId="643" xr:uid="{00000000-0005-0000-0000-000076020000}"/>
    <cellStyle name="40% - Accent6 10 3" xfId="644" xr:uid="{00000000-0005-0000-0000-000077020000}"/>
    <cellStyle name="40% - Accent6 11" xfId="645" xr:uid="{00000000-0005-0000-0000-000078020000}"/>
    <cellStyle name="40% - Accent6 11 2" xfId="646" xr:uid="{00000000-0005-0000-0000-000079020000}"/>
    <cellStyle name="40% - Accent6 11 2 2" xfId="647" xr:uid="{00000000-0005-0000-0000-00007A020000}"/>
    <cellStyle name="40% - Accent6 11 3" xfId="648" xr:uid="{00000000-0005-0000-0000-00007B020000}"/>
    <cellStyle name="40% - Accent6 12" xfId="649" xr:uid="{00000000-0005-0000-0000-00007C020000}"/>
    <cellStyle name="40% - Accent6 12 2" xfId="650" xr:uid="{00000000-0005-0000-0000-00007D020000}"/>
    <cellStyle name="40% - Accent6 12 2 2" xfId="651" xr:uid="{00000000-0005-0000-0000-00007E020000}"/>
    <cellStyle name="40% - Accent6 12 3" xfId="652" xr:uid="{00000000-0005-0000-0000-00007F020000}"/>
    <cellStyle name="40% - Accent6 13" xfId="653" xr:uid="{00000000-0005-0000-0000-000080020000}"/>
    <cellStyle name="40% - Accent6 13 2" xfId="654" xr:uid="{00000000-0005-0000-0000-000081020000}"/>
    <cellStyle name="40% - Accent6 13 2 2" xfId="655" xr:uid="{00000000-0005-0000-0000-000082020000}"/>
    <cellStyle name="40% - Accent6 13 3" xfId="656" xr:uid="{00000000-0005-0000-0000-000083020000}"/>
    <cellStyle name="40% - Accent6 14" xfId="657" xr:uid="{00000000-0005-0000-0000-000084020000}"/>
    <cellStyle name="40% - Accent6 14 2" xfId="658" xr:uid="{00000000-0005-0000-0000-000085020000}"/>
    <cellStyle name="40% - Accent6 14 2 2" xfId="659" xr:uid="{00000000-0005-0000-0000-000086020000}"/>
    <cellStyle name="40% - Accent6 14 3" xfId="660" xr:uid="{00000000-0005-0000-0000-000087020000}"/>
    <cellStyle name="40% - Accent6 15" xfId="661" xr:uid="{00000000-0005-0000-0000-000088020000}"/>
    <cellStyle name="40% - Accent6 15 2" xfId="662" xr:uid="{00000000-0005-0000-0000-000089020000}"/>
    <cellStyle name="40% - Accent6 15 2 2" xfId="663" xr:uid="{00000000-0005-0000-0000-00008A020000}"/>
    <cellStyle name="40% - Accent6 15 3" xfId="664" xr:uid="{00000000-0005-0000-0000-00008B020000}"/>
    <cellStyle name="40% - Accent6 16" xfId="665" xr:uid="{00000000-0005-0000-0000-00008C020000}"/>
    <cellStyle name="40% - Accent6 2" xfId="666" xr:uid="{00000000-0005-0000-0000-00008D020000}"/>
    <cellStyle name="40% - Accent6 2 2" xfId="667" xr:uid="{00000000-0005-0000-0000-00008E020000}"/>
    <cellStyle name="40% - Accent6 2 2 2" xfId="668" xr:uid="{00000000-0005-0000-0000-00008F020000}"/>
    <cellStyle name="40% - Accent6 2 3" xfId="669" xr:uid="{00000000-0005-0000-0000-000090020000}"/>
    <cellStyle name="40% - Accent6 3" xfId="670" xr:uid="{00000000-0005-0000-0000-000091020000}"/>
    <cellStyle name="40% - Accent6 3 2" xfId="671" xr:uid="{00000000-0005-0000-0000-000092020000}"/>
    <cellStyle name="40% - Accent6 3 2 2" xfId="672" xr:uid="{00000000-0005-0000-0000-000093020000}"/>
    <cellStyle name="40% - Accent6 3 3" xfId="673" xr:uid="{00000000-0005-0000-0000-000094020000}"/>
    <cellStyle name="40% - Accent6 4" xfId="674" xr:uid="{00000000-0005-0000-0000-000095020000}"/>
    <cellStyle name="40% - Accent6 4 2" xfId="675" xr:uid="{00000000-0005-0000-0000-000096020000}"/>
    <cellStyle name="40% - Accent6 4 2 2" xfId="676" xr:uid="{00000000-0005-0000-0000-000097020000}"/>
    <cellStyle name="40% - Accent6 4 3" xfId="677" xr:uid="{00000000-0005-0000-0000-000098020000}"/>
    <cellStyle name="40% - Accent6 5" xfId="678" xr:uid="{00000000-0005-0000-0000-000099020000}"/>
    <cellStyle name="40% - Accent6 5 2" xfId="679" xr:uid="{00000000-0005-0000-0000-00009A020000}"/>
    <cellStyle name="40% - Accent6 5 2 2" xfId="680" xr:uid="{00000000-0005-0000-0000-00009B020000}"/>
    <cellStyle name="40% - Accent6 5 3" xfId="681" xr:uid="{00000000-0005-0000-0000-00009C020000}"/>
    <cellStyle name="40% - Accent6 6" xfId="682" xr:uid="{00000000-0005-0000-0000-00009D020000}"/>
    <cellStyle name="40% - Accent6 6 2" xfId="683" xr:uid="{00000000-0005-0000-0000-00009E020000}"/>
    <cellStyle name="40% - Accent6 6 2 2" xfId="684" xr:uid="{00000000-0005-0000-0000-00009F020000}"/>
    <cellStyle name="40% - Accent6 6 3" xfId="685" xr:uid="{00000000-0005-0000-0000-0000A0020000}"/>
    <cellStyle name="40% - Accent6 7" xfId="686" xr:uid="{00000000-0005-0000-0000-0000A1020000}"/>
    <cellStyle name="40% - Accent6 7 2" xfId="687" xr:uid="{00000000-0005-0000-0000-0000A2020000}"/>
    <cellStyle name="40% - Accent6 7 2 2" xfId="688" xr:uid="{00000000-0005-0000-0000-0000A3020000}"/>
    <cellStyle name="40% - Accent6 7 3" xfId="689" xr:uid="{00000000-0005-0000-0000-0000A4020000}"/>
    <cellStyle name="40% - Accent6 8" xfId="690" xr:uid="{00000000-0005-0000-0000-0000A5020000}"/>
    <cellStyle name="40% - Accent6 8 2" xfId="691" xr:uid="{00000000-0005-0000-0000-0000A6020000}"/>
    <cellStyle name="40% - Accent6 8 2 2" xfId="692" xr:uid="{00000000-0005-0000-0000-0000A7020000}"/>
    <cellStyle name="40% - Accent6 8 3" xfId="693" xr:uid="{00000000-0005-0000-0000-0000A8020000}"/>
    <cellStyle name="40% - Accent6 9" xfId="694" xr:uid="{00000000-0005-0000-0000-0000A9020000}"/>
    <cellStyle name="40% - Accent6 9 2" xfId="695" xr:uid="{00000000-0005-0000-0000-0000AA020000}"/>
    <cellStyle name="40% - Accent6 9 2 2" xfId="696" xr:uid="{00000000-0005-0000-0000-0000AB020000}"/>
    <cellStyle name="40% - Accent6 9 3" xfId="697" xr:uid="{00000000-0005-0000-0000-0000AC020000}"/>
    <cellStyle name="60% - Accent1 10" xfId="698" xr:uid="{00000000-0005-0000-0000-0000AD020000}"/>
    <cellStyle name="60% - Accent1 11" xfId="699" xr:uid="{00000000-0005-0000-0000-0000AE020000}"/>
    <cellStyle name="60% - Accent1 12" xfId="700" xr:uid="{00000000-0005-0000-0000-0000AF020000}"/>
    <cellStyle name="60% - Accent1 13" xfId="701" xr:uid="{00000000-0005-0000-0000-0000B0020000}"/>
    <cellStyle name="60% - Accent1 14" xfId="702" xr:uid="{00000000-0005-0000-0000-0000B1020000}"/>
    <cellStyle name="60% - Accent1 15" xfId="703" xr:uid="{00000000-0005-0000-0000-0000B2020000}"/>
    <cellStyle name="60% - Accent1 16" xfId="704" xr:uid="{00000000-0005-0000-0000-0000B3020000}"/>
    <cellStyle name="60% - Accent1 2" xfId="705" xr:uid="{00000000-0005-0000-0000-0000B4020000}"/>
    <cellStyle name="60% - Accent1 3" xfId="706" xr:uid="{00000000-0005-0000-0000-0000B5020000}"/>
    <cellStyle name="60% - Accent1 4" xfId="707" xr:uid="{00000000-0005-0000-0000-0000B6020000}"/>
    <cellStyle name="60% - Accent1 5" xfId="708" xr:uid="{00000000-0005-0000-0000-0000B7020000}"/>
    <cellStyle name="60% - Accent1 6" xfId="709" xr:uid="{00000000-0005-0000-0000-0000B8020000}"/>
    <cellStyle name="60% - Accent1 7" xfId="710" xr:uid="{00000000-0005-0000-0000-0000B9020000}"/>
    <cellStyle name="60% - Accent1 8" xfId="711" xr:uid="{00000000-0005-0000-0000-0000BA020000}"/>
    <cellStyle name="60% - Accent1 9" xfId="712" xr:uid="{00000000-0005-0000-0000-0000BB020000}"/>
    <cellStyle name="60% - Accent2 10" xfId="713" xr:uid="{00000000-0005-0000-0000-0000BC020000}"/>
    <cellStyle name="60% - Accent2 11" xfId="714" xr:uid="{00000000-0005-0000-0000-0000BD020000}"/>
    <cellStyle name="60% - Accent2 12" xfId="715" xr:uid="{00000000-0005-0000-0000-0000BE020000}"/>
    <cellStyle name="60% - Accent2 13" xfId="716" xr:uid="{00000000-0005-0000-0000-0000BF020000}"/>
    <cellStyle name="60% - Accent2 14" xfId="717" xr:uid="{00000000-0005-0000-0000-0000C0020000}"/>
    <cellStyle name="60% - Accent2 15" xfId="718" xr:uid="{00000000-0005-0000-0000-0000C1020000}"/>
    <cellStyle name="60% - Accent2 16" xfId="719" xr:uid="{00000000-0005-0000-0000-0000C2020000}"/>
    <cellStyle name="60% - Accent2 2" xfId="720" xr:uid="{00000000-0005-0000-0000-0000C3020000}"/>
    <cellStyle name="60% - Accent2 3" xfId="721" xr:uid="{00000000-0005-0000-0000-0000C4020000}"/>
    <cellStyle name="60% - Accent2 4" xfId="722" xr:uid="{00000000-0005-0000-0000-0000C5020000}"/>
    <cellStyle name="60% - Accent2 5" xfId="723" xr:uid="{00000000-0005-0000-0000-0000C6020000}"/>
    <cellStyle name="60% - Accent2 6" xfId="724" xr:uid="{00000000-0005-0000-0000-0000C7020000}"/>
    <cellStyle name="60% - Accent2 7" xfId="725" xr:uid="{00000000-0005-0000-0000-0000C8020000}"/>
    <cellStyle name="60% - Accent2 8" xfId="726" xr:uid="{00000000-0005-0000-0000-0000C9020000}"/>
    <cellStyle name="60% - Accent2 9" xfId="727" xr:uid="{00000000-0005-0000-0000-0000CA020000}"/>
    <cellStyle name="60% - Accent3 10" xfId="728" xr:uid="{00000000-0005-0000-0000-0000CB020000}"/>
    <cellStyle name="60% - Accent3 11" xfId="729" xr:uid="{00000000-0005-0000-0000-0000CC020000}"/>
    <cellStyle name="60% - Accent3 12" xfId="730" xr:uid="{00000000-0005-0000-0000-0000CD020000}"/>
    <cellStyle name="60% - Accent3 13" xfId="731" xr:uid="{00000000-0005-0000-0000-0000CE020000}"/>
    <cellStyle name="60% - Accent3 14" xfId="732" xr:uid="{00000000-0005-0000-0000-0000CF020000}"/>
    <cellStyle name="60% - Accent3 15" xfId="733" xr:uid="{00000000-0005-0000-0000-0000D0020000}"/>
    <cellStyle name="60% - Accent3 16" xfId="734" xr:uid="{00000000-0005-0000-0000-0000D1020000}"/>
    <cellStyle name="60% - Accent3 2" xfId="735" xr:uid="{00000000-0005-0000-0000-0000D2020000}"/>
    <cellStyle name="60% - Accent3 3" xfId="736" xr:uid="{00000000-0005-0000-0000-0000D3020000}"/>
    <cellStyle name="60% - Accent3 4" xfId="737" xr:uid="{00000000-0005-0000-0000-0000D4020000}"/>
    <cellStyle name="60% - Accent3 5" xfId="738" xr:uid="{00000000-0005-0000-0000-0000D5020000}"/>
    <cellStyle name="60% - Accent3 6" xfId="739" xr:uid="{00000000-0005-0000-0000-0000D6020000}"/>
    <cellStyle name="60% - Accent3 7" xfId="740" xr:uid="{00000000-0005-0000-0000-0000D7020000}"/>
    <cellStyle name="60% - Accent3 8" xfId="741" xr:uid="{00000000-0005-0000-0000-0000D8020000}"/>
    <cellStyle name="60% - Accent3 9" xfId="742" xr:uid="{00000000-0005-0000-0000-0000D9020000}"/>
    <cellStyle name="60% - Accent4 10" xfId="743" xr:uid="{00000000-0005-0000-0000-0000DA020000}"/>
    <cellStyle name="60% - Accent4 11" xfId="744" xr:uid="{00000000-0005-0000-0000-0000DB020000}"/>
    <cellStyle name="60% - Accent4 12" xfId="745" xr:uid="{00000000-0005-0000-0000-0000DC020000}"/>
    <cellStyle name="60% - Accent4 13" xfId="746" xr:uid="{00000000-0005-0000-0000-0000DD020000}"/>
    <cellStyle name="60% - Accent4 14" xfId="747" xr:uid="{00000000-0005-0000-0000-0000DE020000}"/>
    <cellStyle name="60% - Accent4 15" xfId="748" xr:uid="{00000000-0005-0000-0000-0000DF020000}"/>
    <cellStyle name="60% - Accent4 16" xfId="749" xr:uid="{00000000-0005-0000-0000-0000E0020000}"/>
    <cellStyle name="60% - Accent4 2" xfId="750" xr:uid="{00000000-0005-0000-0000-0000E1020000}"/>
    <cellStyle name="60% - Accent4 3" xfId="751" xr:uid="{00000000-0005-0000-0000-0000E2020000}"/>
    <cellStyle name="60% - Accent4 4" xfId="752" xr:uid="{00000000-0005-0000-0000-0000E3020000}"/>
    <cellStyle name="60% - Accent4 5" xfId="753" xr:uid="{00000000-0005-0000-0000-0000E4020000}"/>
    <cellStyle name="60% - Accent4 6" xfId="754" xr:uid="{00000000-0005-0000-0000-0000E5020000}"/>
    <cellStyle name="60% - Accent4 7" xfId="755" xr:uid="{00000000-0005-0000-0000-0000E6020000}"/>
    <cellStyle name="60% - Accent4 8" xfId="756" xr:uid="{00000000-0005-0000-0000-0000E7020000}"/>
    <cellStyle name="60% - Accent4 9" xfId="757" xr:uid="{00000000-0005-0000-0000-0000E8020000}"/>
    <cellStyle name="60% - Accent5 10" xfId="758" xr:uid="{00000000-0005-0000-0000-0000E9020000}"/>
    <cellStyle name="60% - Accent5 11" xfId="759" xr:uid="{00000000-0005-0000-0000-0000EA020000}"/>
    <cellStyle name="60% - Accent5 12" xfId="760" xr:uid="{00000000-0005-0000-0000-0000EB020000}"/>
    <cellStyle name="60% - Accent5 13" xfId="761" xr:uid="{00000000-0005-0000-0000-0000EC020000}"/>
    <cellStyle name="60% - Accent5 14" xfId="762" xr:uid="{00000000-0005-0000-0000-0000ED020000}"/>
    <cellStyle name="60% - Accent5 15" xfId="763" xr:uid="{00000000-0005-0000-0000-0000EE020000}"/>
    <cellStyle name="60% - Accent5 16" xfId="764" xr:uid="{00000000-0005-0000-0000-0000EF020000}"/>
    <cellStyle name="60% - Accent5 2" xfId="765" xr:uid="{00000000-0005-0000-0000-0000F0020000}"/>
    <cellStyle name="60% - Accent5 3" xfId="766" xr:uid="{00000000-0005-0000-0000-0000F1020000}"/>
    <cellStyle name="60% - Accent5 4" xfId="767" xr:uid="{00000000-0005-0000-0000-0000F2020000}"/>
    <cellStyle name="60% - Accent5 5" xfId="768" xr:uid="{00000000-0005-0000-0000-0000F3020000}"/>
    <cellStyle name="60% - Accent5 6" xfId="769" xr:uid="{00000000-0005-0000-0000-0000F4020000}"/>
    <cellStyle name="60% - Accent5 7" xfId="770" xr:uid="{00000000-0005-0000-0000-0000F5020000}"/>
    <cellStyle name="60% - Accent5 8" xfId="771" xr:uid="{00000000-0005-0000-0000-0000F6020000}"/>
    <cellStyle name="60% - Accent5 9" xfId="772" xr:uid="{00000000-0005-0000-0000-0000F7020000}"/>
    <cellStyle name="60% - Accent6 10" xfId="773" xr:uid="{00000000-0005-0000-0000-0000F8020000}"/>
    <cellStyle name="60% - Accent6 11" xfId="774" xr:uid="{00000000-0005-0000-0000-0000F9020000}"/>
    <cellStyle name="60% - Accent6 12" xfId="775" xr:uid="{00000000-0005-0000-0000-0000FA020000}"/>
    <cellStyle name="60% - Accent6 13" xfId="776" xr:uid="{00000000-0005-0000-0000-0000FB020000}"/>
    <cellStyle name="60% - Accent6 14" xfId="777" xr:uid="{00000000-0005-0000-0000-0000FC020000}"/>
    <cellStyle name="60% - Accent6 15" xfId="778" xr:uid="{00000000-0005-0000-0000-0000FD020000}"/>
    <cellStyle name="60% - Accent6 16" xfId="779" xr:uid="{00000000-0005-0000-0000-0000FE020000}"/>
    <cellStyle name="60% - Accent6 2" xfId="780" xr:uid="{00000000-0005-0000-0000-0000FF020000}"/>
    <cellStyle name="60% - Accent6 3" xfId="781" xr:uid="{00000000-0005-0000-0000-000000030000}"/>
    <cellStyle name="60% - Accent6 4" xfId="782" xr:uid="{00000000-0005-0000-0000-000001030000}"/>
    <cellStyle name="60% - Accent6 5" xfId="783" xr:uid="{00000000-0005-0000-0000-000002030000}"/>
    <cellStyle name="60% - Accent6 6" xfId="784" xr:uid="{00000000-0005-0000-0000-000003030000}"/>
    <cellStyle name="60% - Accent6 7" xfId="785" xr:uid="{00000000-0005-0000-0000-000004030000}"/>
    <cellStyle name="60% - Accent6 8" xfId="786" xr:uid="{00000000-0005-0000-0000-000005030000}"/>
    <cellStyle name="60% - Accent6 9" xfId="787" xr:uid="{00000000-0005-0000-0000-000006030000}"/>
    <cellStyle name="Accent1 10" xfId="788" xr:uid="{00000000-0005-0000-0000-000007030000}"/>
    <cellStyle name="Accent1 11" xfId="789" xr:uid="{00000000-0005-0000-0000-000008030000}"/>
    <cellStyle name="Accent1 12" xfId="790" xr:uid="{00000000-0005-0000-0000-000009030000}"/>
    <cellStyle name="Accent1 13" xfId="791" xr:uid="{00000000-0005-0000-0000-00000A030000}"/>
    <cellStyle name="Accent1 14" xfId="792" xr:uid="{00000000-0005-0000-0000-00000B030000}"/>
    <cellStyle name="Accent1 15" xfId="793" xr:uid="{00000000-0005-0000-0000-00000C030000}"/>
    <cellStyle name="Accent1 16" xfId="794" xr:uid="{00000000-0005-0000-0000-00000D030000}"/>
    <cellStyle name="Accent1 2" xfId="795" xr:uid="{00000000-0005-0000-0000-00000E030000}"/>
    <cellStyle name="Accent1 3" xfId="796" xr:uid="{00000000-0005-0000-0000-00000F030000}"/>
    <cellStyle name="Accent1 4" xfId="797" xr:uid="{00000000-0005-0000-0000-000010030000}"/>
    <cellStyle name="Accent1 5" xfId="798" xr:uid="{00000000-0005-0000-0000-000011030000}"/>
    <cellStyle name="Accent1 6" xfId="799" xr:uid="{00000000-0005-0000-0000-000012030000}"/>
    <cellStyle name="Accent1 7" xfId="800" xr:uid="{00000000-0005-0000-0000-000013030000}"/>
    <cellStyle name="Accent1 8" xfId="801" xr:uid="{00000000-0005-0000-0000-000014030000}"/>
    <cellStyle name="Accent1 9" xfId="802" xr:uid="{00000000-0005-0000-0000-000015030000}"/>
    <cellStyle name="Accent2 10" xfId="803" xr:uid="{00000000-0005-0000-0000-000016030000}"/>
    <cellStyle name="Accent2 11" xfId="804" xr:uid="{00000000-0005-0000-0000-000017030000}"/>
    <cellStyle name="Accent2 12" xfId="805" xr:uid="{00000000-0005-0000-0000-000018030000}"/>
    <cellStyle name="Accent2 13" xfId="806" xr:uid="{00000000-0005-0000-0000-000019030000}"/>
    <cellStyle name="Accent2 14" xfId="807" xr:uid="{00000000-0005-0000-0000-00001A030000}"/>
    <cellStyle name="Accent2 15" xfId="808" xr:uid="{00000000-0005-0000-0000-00001B030000}"/>
    <cellStyle name="Accent2 16" xfId="809" xr:uid="{00000000-0005-0000-0000-00001C030000}"/>
    <cellStyle name="Accent2 2" xfId="810" xr:uid="{00000000-0005-0000-0000-00001D030000}"/>
    <cellStyle name="Accent2 3" xfId="811" xr:uid="{00000000-0005-0000-0000-00001E030000}"/>
    <cellStyle name="Accent2 4" xfId="812" xr:uid="{00000000-0005-0000-0000-00001F030000}"/>
    <cellStyle name="Accent2 5" xfId="813" xr:uid="{00000000-0005-0000-0000-000020030000}"/>
    <cellStyle name="Accent2 6" xfId="814" xr:uid="{00000000-0005-0000-0000-000021030000}"/>
    <cellStyle name="Accent2 7" xfId="815" xr:uid="{00000000-0005-0000-0000-000022030000}"/>
    <cellStyle name="Accent2 8" xfId="816" xr:uid="{00000000-0005-0000-0000-000023030000}"/>
    <cellStyle name="Accent2 9" xfId="817" xr:uid="{00000000-0005-0000-0000-000024030000}"/>
    <cellStyle name="Accent3 10" xfId="818" xr:uid="{00000000-0005-0000-0000-000025030000}"/>
    <cellStyle name="Accent3 11" xfId="819" xr:uid="{00000000-0005-0000-0000-000026030000}"/>
    <cellStyle name="Accent3 12" xfId="820" xr:uid="{00000000-0005-0000-0000-000027030000}"/>
    <cellStyle name="Accent3 13" xfId="821" xr:uid="{00000000-0005-0000-0000-000028030000}"/>
    <cellStyle name="Accent3 14" xfId="822" xr:uid="{00000000-0005-0000-0000-000029030000}"/>
    <cellStyle name="Accent3 15" xfId="823" xr:uid="{00000000-0005-0000-0000-00002A030000}"/>
    <cellStyle name="Accent3 16" xfId="824" xr:uid="{00000000-0005-0000-0000-00002B030000}"/>
    <cellStyle name="Accent3 2" xfId="825" xr:uid="{00000000-0005-0000-0000-00002C030000}"/>
    <cellStyle name="Accent3 3" xfId="826" xr:uid="{00000000-0005-0000-0000-00002D030000}"/>
    <cellStyle name="Accent3 4" xfId="827" xr:uid="{00000000-0005-0000-0000-00002E030000}"/>
    <cellStyle name="Accent3 5" xfId="828" xr:uid="{00000000-0005-0000-0000-00002F030000}"/>
    <cellStyle name="Accent3 6" xfId="829" xr:uid="{00000000-0005-0000-0000-000030030000}"/>
    <cellStyle name="Accent3 7" xfId="830" xr:uid="{00000000-0005-0000-0000-000031030000}"/>
    <cellStyle name="Accent3 8" xfId="831" xr:uid="{00000000-0005-0000-0000-000032030000}"/>
    <cellStyle name="Accent3 9" xfId="832" xr:uid="{00000000-0005-0000-0000-000033030000}"/>
    <cellStyle name="Accent4 10" xfId="833" xr:uid="{00000000-0005-0000-0000-000034030000}"/>
    <cellStyle name="Accent4 11" xfId="834" xr:uid="{00000000-0005-0000-0000-000035030000}"/>
    <cellStyle name="Accent4 12" xfId="835" xr:uid="{00000000-0005-0000-0000-000036030000}"/>
    <cellStyle name="Accent4 13" xfId="836" xr:uid="{00000000-0005-0000-0000-000037030000}"/>
    <cellStyle name="Accent4 14" xfId="837" xr:uid="{00000000-0005-0000-0000-000038030000}"/>
    <cellStyle name="Accent4 15" xfId="838" xr:uid="{00000000-0005-0000-0000-000039030000}"/>
    <cellStyle name="Accent4 16" xfId="839" xr:uid="{00000000-0005-0000-0000-00003A030000}"/>
    <cellStyle name="Accent4 2" xfId="840" xr:uid="{00000000-0005-0000-0000-00003B030000}"/>
    <cellStyle name="Accent4 3" xfId="841" xr:uid="{00000000-0005-0000-0000-00003C030000}"/>
    <cellStyle name="Accent4 4" xfId="842" xr:uid="{00000000-0005-0000-0000-00003D030000}"/>
    <cellStyle name="Accent4 5" xfId="843" xr:uid="{00000000-0005-0000-0000-00003E030000}"/>
    <cellStyle name="Accent4 6" xfId="844" xr:uid="{00000000-0005-0000-0000-00003F030000}"/>
    <cellStyle name="Accent4 7" xfId="845" xr:uid="{00000000-0005-0000-0000-000040030000}"/>
    <cellStyle name="Accent4 8" xfId="846" xr:uid="{00000000-0005-0000-0000-000041030000}"/>
    <cellStyle name="Accent4 9" xfId="847" xr:uid="{00000000-0005-0000-0000-000042030000}"/>
    <cellStyle name="Accent5 10" xfId="848" xr:uid="{00000000-0005-0000-0000-000043030000}"/>
    <cellStyle name="Accent5 11" xfId="849" xr:uid="{00000000-0005-0000-0000-000044030000}"/>
    <cellStyle name="Accent5 12" xfId="850" xr:uid="{00000000-0005-0000-0000-000045030000}"/>
    <cellStyle name="Accent5 13" xfId="851" xr:uid="{00000000-0005-0000-0000-000046030000}"/>
    <cellStyle name="Accent5 14" xfId="852" xr:uid="{00000000-0005-0000-0000-000047030000}"/>
    <cellStyle name="Accent5 15" xfId="853" xr:uid="{00000000-0005-0000-0000-000048030000}"/>
    <cellStyle name="Accent5 16" xfId="854" xr:uid="{00000000-0005-0000-0000-000049030000}"/>
    <cellStyle name="Accent5 2" xfId="855" xr:uid="{00000000-0005-0000-0000-00004A030000}"/>
    <cellStyle name="Accent5 3" xfId="856" xr:uid="{00000000-0005-0000-0000-00004B030000}"/>
    <cellStyle name="Accent5 4" xfId="857" xr:uid="{00000000-0005-0000-0000-00004C030000}"/>
    <cellStyle name="Accent5 5" xfId="858" xr:uid="{00000000-0005-0000-0000-00004D030000}"/>
    <cellStyle name="Accent5 6" xfId="859" xr:uid="{00000000-0005-0000-0000-00004E030000}"/>
    <cellStyle name="Accent5 7" xfId="860" xr:uid="{00000000-0005-0000-0000-00004F030000}"/>
    <cellStyle name="Accent5 8" xfId="861" xr:uid="{00000000-0005-0000-0000-000050030000}"/>
    <cellStyle name="Accent5 9" xfId="862" xr:uid="{00000000-0005-0000-0000-000051030000}"/>
    <cellStyle name="Accent6 10" xfId="863" xr:uid="{00000000-0005-0000-0000-000052030000}"/>
    <cellStyle name="Accent6 11" xfId="864" xr:uid="{00000000-0005-0000-0000-000053030000}"/>
    <cellStyle name="Accent6 12" xfId="865" xr:uid="{00000000-0005-0000-0000-000054030000}"/>
    <cellStyle name="Accent6 13" xfId="866" xr:uid="{00000000-0005-0000-0000-000055030000}"/>
    <cellStyle name="Accent6 14" xfId="867" xr:uid="{00000000-0005-0000-0000-000056030000}"/>
    <cellStyle name="Accent6 15" xfId="868" xr:uid="{00000000-0005-0000-0000-000057030000}"/>
    <cellStyle name="Accent6 16" xfId="869" xr:uid="{00000000-0005-0000-0000-000058030000}"/>
    <cellStyle name="Accent6 2" xfId="870" xr:uid="{00000000-0005-0000-0000-000059030000}"/>
    <cellStyle name="Accent6 3" xfId="871" xr:uid="{00000000-0005-0000-0000-00005A030000}"/>
    <cellStyle name="Accent6 4" xfId="872" xr:uid="{00000000-0005-0000-0000-00005B030000}"/>
    <cellStyle name="Accent6 5" xfId="873" xr:uid="{00000000-0005-0000-0000-00005C030000}"/>
    <cellStyle name="Accent6 6" xfId="874" xr:uid="{00000000-0005-0000-0000-00005D030000}"/>
    <cellStyle name="Accent6 7" xfId="875" xr:uid="{00000000-0005-0000-0000-00005E030000}"/>
    <cellStyle name="Accent6 8" xfId="876" xr:uid="{00000000-0005-0000-0000-00005F030000}"/>
    <cellStyle name="Accent6 9" xfId="877" xr:uid="{00000000-0005-0000-0000-000060030000}"/>
    <cellStyle name="Bad 10" xfId="878" xr:uid="{00000000-0005-0000-0000-000061030000}"/>
    <cellStyle name="Bad 11" xfId="879" xr:uid="{00000000-0005-0000-0000-000062030000}"/>
    <cellStyle name="Bad 12" xfId="880" xr:uid="{00000000-0005-0000-0000-000063030000}"/>
    <cellStyle name="Bad 13" xfId="881" xr:uid="{00000000-0005-0000-0000-000064030000}"/>
    <cellStyle name="Bad 14" xfId="882" xr:uid="{00000000-0005-0000-0000-000065030000}"/>
    <cellStyle name="Bad 15" xfId="883" xr:uid="{00000000-0005-0000-0000-000066030000}"/>
    <cellStyle name="Bad 16" xfId="884" xr:uid="{00000000-0005-0000-0000-000067030000}"/>
    <cellStyle name="Bad 2" xfId="885" xr:uid="{00000000-0005-0000-0000-000068030000}"/>
    <cellStyle name="Bad 3" xfId="886" xr:uid="{00000000-0005-0000-0000-000069030000}"/>
    <cellStyle name="Bad 4" xfId="887" xr:uid="{00000000-0005-0000-0000-00006A030000}"/>
    <cellStyle name="Bad 5" xfId="888" xr:uid="{00000000-0005-0000-0000-00006B030000}"/>
    <cellStyle name="Bad 6" xfId="889" xr:uid="{00000000-0005-0000-0000-00006C030000}"/>
    <cellStyle name="Bad 7" xfId="890" xr:uid="{00000000-0005-0000-0000-00006D030000}"/>
    <cellStyle name="Bad 8" xfId="891" xr:uid="{00000000-0005-0000-0000-00006E030000}"/>
    <cellStyle name="Bad 9" xfId="892" xr:uid="{00000000-0005-0000-0000-00006F030000}"/>
    <cellStyle name="Calculation 10" xfId="893" xr:uid="{00000000-0005-0000-0000-000070030000}"/>
    <cellStyle name="Calculation 11" xfId="894" xr:uid="{00000000-0005-0000-0000-000071030000}"/>
    <cellStyle name="Calculation 12" xfId="895" xr:uid="{00000000-0005-0000-0000-000072030000}"/>
    <cellStyle name="Calculation 13" xfId="896" xr:uid="{00000000-0005-0000-0000-000073030000}"/>
    <cellStyle name="Calculation 14" xfId="897" xr:uid="{00000000-0005-0000-0000-000074030000}"/>
    <cellStyle name="Calculation 15" xfId="898" xr:uid="{00000000-0005-0000-0000-000075030000}"/>
    <cellStyle name="Calculation 16" xfId="899" xr:uid="{00000000-0005-0000-0000-000076030000}"/>
    <cellStyle name="Calculation 2" xfId="900" xr:uid="{00000000-0005-0000-0000-000077030000}"/>
    <cellStyle name="Calculation 3" xfId="901" xr:uid="{00000000-0005-0000-0000-000078030000}"/>
    <cellStyle name="Calculation 4" xfId="902" xr:uid="{00000000-0005-0000-0000-000079030000}"/>
    <cellStyle name="Calculation 5" xfId="903" xr:uid="{00000000-0005-0000-0000-00007A030000}"/>
    <cellStyle name="Calculation 6" xfId="904" xr:uid="{00000000-0005-0000-0000-00007B030000}"/>
    <cellStyle name="Calculation 7" xfId="905" xr:uid="{00000000-0005-0000-0000-00007C030000}"/>
    <cellStyle name="Calculation 8" xfId="906" xr:uid="{00000000-0005-0000-0000-00007D030000}"/>
    <cellStyle name="Calculation 9" xfId="907" xr:uid="{00000000-0005-0000-0000-00007E030000}"/>
    <cellStyle name="Check Cell 10" xfId="908" xr:uid="{00000000-0005-0000-0000-00007F030000}"/>
    <cellStyle name="Check Cell 11" xfId="909" xr:uid="{00000000-0005-0000-0000-000080030000}"/>
    <cellStyle name="Check Cell 12" xfId="910" xr:uid="{00000000-0005-0000-0000-000081030000}"/>
    <cellStyle name="Check Cell 13" xfId="911" xr:uid="{00000000-0005-0000-0000-000082030000}"/>
    <cellStyle name="Check Cell 14" xfId="912" xr:uid="{00000000-0005-0000-0000-000083030000}"/>
    <cellStyle name="Check Cell 15" xfId="913" xr:uid="{00000000-0005-0000-0000-000084030000}"/>
    <cellStyle name="Check Cell 16" xfId="914" xr:uid="{00000000-0005-0000-0000-000085030000}"/>
    <cellStyle name="Check Cell 2" xfId="915" xr:uid="{00000000-0005-0000-0000-000086030000}"/>
    <cellStyle name="Check Cell 3" xfId="916" xr:uid="{00000000-0005-0000-0000-000087030000}"/>
    <cellStyle name="Check Cell 4" xfId="917" xr:uid="{00000000-0005-0000-0000-000088030000}"/>
    <cellStyle name="Check Cell 5" xfId="918" xr:uid="{00000000-0005-0000-0000-000089030000}"/>
    <cellStyle name="Check Cell 6" xfId="919" xr:uid="{00000000-0005-0000-0000-00008A030000}"/>
    <cellStyle name="Check Cell 7" xfId="920" xr:uid="{00000000-0005-0000-0000-00008B030000}"/>
    <cellStyle name="Check Cell 8" xfId="921" xr:uid="{00000000-0005-0000-0000-00008C030000}"/>
    <cellStyle name="Check Cell 9" xfId="922" xr:uid="{00000000-0005-0000-0000-00008D030000}"/>
    <cellStyle name="Comma [0] 2" xfId="923" xr:uid="{00000000-0005-0000-0000-00008E030000}"/>
    <cellStyle name="Comma 2" xfId="924" xr:uid="{00000000-0005-0000-0000-00008F030000}"/>
    <cellStyle name="Comma 2 2" xfId="925" xr:uid="{00000000-0005-0000-0000-000090030000}"/>
    <cellStyle name="Comma 2 3" xfId="926" xr:uid="{00000000-0005-0000-0000-000091030000}"/>
    <cellStyle name="Comma 2 4" xfId="927" xr:uid="{00000000-0005-0000-0000-000092030000}"/>
    <cellStyle name="Comma 2 4 2" xfId="928" xr:uid="{00000000-0005-0000-0000-000093030000}"/>
    <cellStyle name="Comma 2 5" xfId="929" xr:uid="{00000000-0005-0000-0000-000094030000}"/>
    <cellStyle name="Comma 2 5 2" xfId="930" xr:uid="{00000000-0005-0000-0000-000095030000}"/>
    <cellStyle name="Comma 2 6" xfId="931" xr:uid="{00000000-0005-0000-0000-000096030000}"/>
    <cellStyle name="Comma 2 7" xfId="932" xr:uid="{00000000-0005-0000-0000-000097030000}"/>
    <cellStyle name="Comma 3" xfId="933" xr:uid="{00000000-0005-0000-0000-000098030000}"/>
    <cellStyle name="Comma 3 2" xfId="934" xr:uid="{00000000-0005-0000-0000-000099030000}"/>
    <cellStyle name="Comma 4" xfId="9" xr:uid="{00000000-0005-0000-0000-00009A030000}"/>
    <cellStyle name="Comma 4 2" xfId="936" xr:uid="{00000000-0005-0000-0000-00009B030000}"/>
    <cellStyle name="Comma 4 3" xfId="935" xr:uid="{00000000-0005-0000-0000-00009C030000}"/>
    <cellStyle name="Comma 5" xfId="1465" xr:uid="{00000000-0005-0000-0000-00009D030000}"/>
    <cellStyle name="Comma 6" xfId="1459" xr:uid="{00000000-0005-0000-0000-00009E030000}"/>
    <cellStyle name="Currency 2" xfId="1464" xr:uid="{00000000-0005-0000-0000-00009F030000}"/>
    <cellStyle name="Currency 3" xfId="1463" xr:uid="{00000000-0005-0000-0000-0000A0030000}"/>
    <cellStyle name="Currency 4" xfId="1460" xr:uid="{00000000-0005-0000-0000-0000A1030000}"/>
    <cellStyle name="Explanatory Text 10" xfId="937" xr:uid="{00000000-0005-0000-0000-0000A2030000}"/>
    <cellStyle name="Explanatory Text 11" xfId="938" xr:uid="{00000000-0005-0000-0000-0000A3030000}"/>
    <cellStyle name="Explanatory Text 12" xfId="939" xr:uid="{00000000-0005-0000-0000-0000A4030000}"/>
    <cellStyle name="Explanatory Text 13" xfId="940" xr:uid="{00000000-0005-0000-0000-0000A5030000}"/>
    <cellStyle name="Explanatory Text 14" xfId="941" xr:uid="{00000000-0005-0000-0000-0000A6030000}"/>
    <cellStyle name="Explanatory Text 15" xfId="942" xr:uid="{00000000-0005-0000-0000-0000A7030000}"/>
    <cellStyle name="Explanatory Text 16" xfId="943" xr:uid="{00000000-0005-0000-0000-0000A8030000}"/>
    <cellStyle name="Explanatory Text 2" xfId="944" xr:uid="{00000000-0005-0000-0000-0000A9030000}"/>
    <cellStyle name="Explanatory Text 3" xfId="945" xr:uid="{00000000-0005-0000-0000-0000AA030000}"/>
    <cellStyle name="Explanatory Text 4" xfId="946" xr:uid="{00000000-0005-0000-0000-0000AB030000}"/>
    <cellStyle name="Explanatory Text 5" xfId="947" xr:uid="{00000000-0005-0000-0000-0000AC030000}"/>
    <cellStyle name="Explanatory Text 6" xfId="948" xr:uid="{00000000-0005-0000-0000-0000AD030000}"/>
    <cellStyle name="Explanatory Text 7" xfId="949" xr:uid="{00000000-0005-0000-0000-0000AE030000}"/>
    <cellStyle name="Explanatory Text 8" xfId="950" xr:uid="{00000000-0005-0000-0000-0000AF030000}"/>
    <cellStyle name="Explanatory Text 9" xfId="951" xr:uid="{00000000-0005-0000-0000-0000B0030000}"/>
    <cellStyle name="Good 10" xfId="952" xr:uid="{00000000-0005-0000-0000-0000B1030000}"/>
    <cellStyle name="Good 11" xfId="953" xr:uid="{00000000-0005-0000-0000-0000B2030000}"/>
    <cellStyle name="Good 12" xfId="954" xr:uid="{00000000-0005-0000-0000-0000B3030000}"/>
    <cellStyle name="Good 13" xfId="955" xr:uid="{00000000-0005-0000-0000-0000B4030000}"/>
    <cellStyle name="Good 14" xfId="956" xr:uid="{00000000-0005-0000-0000-0000B5030000}"/>
    <cellStyle name="Good 15" xfId="957" xr:uid="{00000000-0005-0000-0000-0000B6030000}"/>
    <cellStyle name="Good 16" xfId="958" xr:uid="{00000000-0005-0000-0000-0000B7030000}"/>
    <cellStyle name="Good 2" xfId="959" xr:uid="{00000000-0005-0000-0000-0000B8030000}"/>
    <cellStyle name="Good 3" xfId="960" xr:uid="{00000000-0005-0000-0000-0000B9030000}"/>
    <cellStyle name="Good 4" xfId="961" xr:uid="{00000000-0005-0000-0000-0000BA030000}"/>
    <cellStyle name="Good 5" xfId="962" xr:uid="{00000000-0005-0000-0000-0000BB030000}"/>
    <cellStyle name="Good 6" xfId="963" xr:uid="{00000000-0005-0000-0000-0000BC030000}"/>
    <cellStyle name="Good 7" xfId="964" xr:uid="{00000000-0005-0000-0000-0000BD030000}"/>
    <cellStyle name="Good 8" xfId="965" xr:uid="{00000000-0005-0000-0000-0000BE030000}"/>
    <cellStyle name="Good 9" xfId="966" xr:uid="{00000000-0005-0000-0000-0000BF030000}"/>
    <cellStyle name="Heading 1 10" xfId="967" xr:uid="{00000000-0005-0000-0000-0000C0030000}"/>
    <cellStyle name="Heading 1 11" xfId="968" xr:uid="{00000000-0005-0000-0000-0000C1030000}"/>
    <cellStyle name="Heading 1 12" xfId="969" xr:uid="{00000000-0005-0000-0000-0000C2030000}"/>
    <cellStyle name="Heading 1 13" xfId="970" xr:uid="{00000000-0005-0000-0000-0000C3030000}"/>
    <cellStyle name="Heading 1 14" xfId="971" xr:uid="{00000000-0005-0000-0000-0000C4030000}"/>
    <cellStyle name="Heading 1 15" xfId="972" xr:uid="{00000000-0005-0000-0000-0000C5030000}"/>
    <cellStyle name="Heading 1 16" xfId="973" xr:uid="{00000000-0005-0000-0000-0000C6030000}"/>
    <cellStyle name="Heading 1 2" xfId="974" xr:uid="{00000000-0005-0000-0000-0000C7030000}"/>
    <cellStyle name="Heading 1 3" xfId="975" xr:uid="{00000000-0005-0000-0000-0000C8030000}"/>
    <cellStyle name="Heading 1 4" xfId="976" xr:uid="{00000000-0005-0000-0000-0000C9030000}"/>
    <cellStyle name="Heading 1 5" xfId="977" xr:uid="{00000000-0005-0000-0000-0000CA030000}"/>
    <cellStyle name="Heading 1 6" xfId="978" xr:uid="{00000000-0005-0000-0000-0000CB030000}"/>
    <cellStyle name="Heading 1 7" xfId="979" xr:uid="{00000000-0005-0000-0000-0000CC030000}"/>
    <cellStyle name="Heading 1 8" xfId="980" xr:uid="{00000000-0005-0000-0000-0000CD030000}"/>
    <cellStyle name="Heading 1 9" xfId="981" xr:uid="{00000000-0005-0000-0000-0000CE030000}"/>
    <cellStyle name="Heading 2 10" xfId="982" xr:uid="{00000000-0005-0000-0000-0000CF030000}"/>
    <cellStyle name="Heading 2 11" xfId="983" xr:uid="{00000000-0005-0000-0000-0000D0030000}"/>
    <cellStyle name="Heading 2 12" xfId="984" xr:uid="{00000000-0005-0000-0000-0000D1030000}"/>
    <cellStyle name="Heading 2 13" xfId="985" xr:uid="{00000000-0005-0000-0000-0000D2030000}"/>
    <cellStyle name="Heading 2 14" xfId="986" xr:uid="{00000000-0005-0000-0000-0000D3030000}"/>
    <cellStyle name="Heading 2 15" xfId="987" xr:uid="{00000000-0005-0000-0000-0000D4030000}"/>
    <cellStyle name="Heading 2 16" xfId="988" xr:uid="{00000000-0005-0000-0000-0000D5030000}"/>
    <cellStyle name="Heading 2 2" xfId="989" xr:uid="{00000000-0005-0000-0000-0000D6030000}"/>
    <cellStyle name="Heading 2 3" xfId="990" xr:uid="{00000000-0005-0000-0000-0000D7030000}"/>
    <cellStyle name="Heading 2 4" xfId="991" xr:uid="{00000000-0005-0000-0000-0000D8030000}"/>
    <cellStyle name="Heading 2 5" xfId="992" xr:uid="{00000000-0005-0000-0000-0000D9030000}"/>
    <cellStyle name="Heading 2 6" xfId="993" xr:uid="{00000000-0005-0000-0000-0000DA030000}"/>
    <cellStyle name="Heading 2 7" xfId="994" xr:uid="{00000000-0005-0000-0000-0000DB030000}"/>
    <cellStyle name="Heading 2 8" xfId="995" xr:uid="{00000000-0005-0000-0000-0000DC030000}"/>
    <cellStyle name="Heading 2 9" xfId="996" xr:uid="{00000000-0005-0000-0000-0000DD030000}"/>
    <cellStyle name="Heading 3 10" xfId="997" xr:uid="{00000000-0005-0000-0000-0000DE030000}"/>
    <cellStyle name="Heading 3 11" xfId="998" xr:uid="{00000000-0005-0000-0000-0000DF030000}"/>
    <cellStyle name="Heading 3 12" xfId="999" xr:uid="{00000000-0005-0000-0000-0000E0030000}"/>
    <cellStyle name="Heading 3 13" xfId="1000" xr:uid="{00000000-0005-0000-0000-0000E1030000}"/>
    <cellStyle name="Heading 3 14" xfId="1001" xr:uid="{00000000-0005-0000-0000-0000E2030000}"/>
    <cellStyle name="Heading 3 15" xfId="1002" xr:uid="{00000000-0005-0000-0000-0000E3030000}"/>
    <cellStyle name="Heading 3 16" xfId="1003" xr:uid="{00000000-0005-0000-0000-0000E4030000}"/>
    <cellStyle name="Heading 3 2" xfId="1004" xr:uid="{00000000-0005-0000-0000-0000E5030000}"/>
    <cellStyle name="Heading 3 3" xfId="1005" xr:uid="{00000000-0005-0000-0000-0000E6030000}"/>
    <cellStyle name="Heading 3 4" xfId="1006" xr:uid="{00000000-0005-0000-0000-0000E7030000}"/>
    <cellStyle name="Heading 3 5" xfId="1007" xr:uid="{00000000-0005-0000-0000-0000E8030000}"/>
    <cellStyle name="Heading 3 6" xfId="1008" xr:uid="{00000000-0005-0000-0000-0000E9030000}"/>
    <cellStyle name="Heading 3 7" xfId="1009" xr:uid="{00000000-0005-0000-0000-0000EA030000}"/>
    <cellStyle name="Heading 3 8" xfId="1010" xr:uid="{00000000-0005-0000-0000-0000EB030000}"/>
    <cellStyle name="Heading 3 9" xfId="1011" xr:uid="{00000000-0005-0000-0000-0000EC030000}"/>
    <cellStyle name="Heading 4 10" xfId="1012" xr:uid="{00000000-0005-0000-0000-0000ED030000}"/>
    <cellStyle name="Heading 4 11" xfId="1013" xr:uid="{00000000-0005-0000-0000-0000EE030000}"/>
    <cellStyle name="Heading 4 12" xfId="1014" xr:uid="{00000000-0005-0000-0000-0000EF030000}"/>
    <cellStyle name="Heading 4 13" xfId="1015" xr:uid="{00000000-0005-0000-0000-0000F0030000}"/>
    <cellStyle name="Heading 4 14" xfId="1016" xr:uid="{00000000-0005-0000-0000-0000F1030000}"/>
    <cellStyle name="Heading 4 15" xfId="1017" xr:uid="{00000000-0005-0000-0000-0000F2030000}"/>
    <cellStyle name="Heading 4 16" xfId="1018" xr:uid="{00000000-0005-0000-0000-0000F3030000}"/>
    <cellStyle name="Heading 4 2" xfId="1019" xr:uid="{00000000-0005-0000-0000-0000F4030000}"/>
    <cellStyle name="Heading 4 3" xfId="1020" xr:uid="{00000000-0005-0000-0000-0000F5030000}"/>
    <cellStyle name="Heading 4 4" xfId="1021" xr:uid="{00000000-0005-0000-0000-0000F6030000}"/>
    <cellStyle name="Heading 4 5" xfId="1022" xr:uid="{00000000-0005-0000-0000-0000F7030000}"/>
    <cellStyle name="Heading 4 6" xfId="1023" xr:uid="{00000000-0005-0000-0000-0000F8030000}"/>
    <cellStyle name="Heading 4 7" xfId="1024" xr:uid="{00000000-0005-0000-0000-0000F9030000}"/>
    <cellStyle name="Heading 4 8" xfId="1025" xr:uid="{00000000-0005-0000-0000-0000FA030000}"/>
    <cellStyle name="Heading 4 9" xfId="1026" xr:uid="{00000000-0005-0000-0000-0000FB030000}"/>
    <cellStyle name="Hyperlink 2" xfId="1027" xr:uid="{00000000-0005-0000-0000-0000FC030000}"/>
    <cellStyle name="Hyperlink 3" xfId="1028" xr:uid="{00000000-0005-0000-0000-0000FD030000}"/>
    <cellStyle name="Input 10" xfId="1029" xr:uid="{00000000-0005-0000-0000-0000FE030000}"/>
    <cellStyle name="Input 11" xfId="1030" xr:uid="{00000000-0005-0000-0000-0000FF030000}"/>
    <cellStyle name="Input 12" xfId="1031" xr:uid="{00000000-0005-0000-0000-000000040000}"/>
    <cellStyle name="Input 13" xfId="1032" xr:uid="{00000000-0005-0000-0000-000001040000}"/>
    <cellStyle name="Input 14" xfId="1033" xr:uid="{00000000-0005-0000-0000-000002040000}"/>
    <cellStyle name="Input 15" xfId="1034" xr:uid="{00000000-0005-0000-0000-000003040000}"/>
    <cellStyle name="Input 16" xfId="1035" xr:uid="{00000000-0005-0000-0000-000004040000}"/>
    <cellStyle name="Input 2" xfId="1036" xr:uid="{00000000-0005-0000-0000-000005040000}"/>
    <cellStyle name="Input 3" xfId="1037" xr:uid="{00000000-0005-0000-0000-000006040000}"/>
    <cellStyle name="Input 4" xfId="1038" xr:uid="{00000000-0005-0000-0000-000007040000}"/>
    <cellStyle name="Input 5" xfId="1039" xr:uid="{00000000-0005-0000-0000-000008040000}"/>
    <cellStyle name="Input 6" xfId="1040" xr:uid="{00000000-0005-0000-0000-000009040000}"/>
    <cellStyle name="Input 7" xfId="1041" xr:uid="{00000000-0005-0000-0000-00000A040000}"/>
    <cellStyle name="Input 8" xfId="1042" xr:uid="{00000000-0005-0000-0000-00000B040000}"/>
    <cellStyle name="Input 9" xfId="1043" xr:uid="{00000000-0005-0000-0000-00000C040000}"/>
    <cellStyle name="Linked Cell 10" xfId="1044" xr:uid="{00000000-0005-0000-0000-00000D040000}"/>
    <cellStyle name="Linked Cell 11" xfId="1045" xr:uid="{00000000-0005-0000-0000-00000E040000}"/>
    <cellStyle name="Linked Cell 12" xfId="1046" xr:uid="{00000000-0005-0000-0000-00000F040000}"/>
    <cellStyle name="Linked Cell 13" xfId="1047" xr:uid="{00000000-0005-0000-0000-000010040000}"/>
    <cellStyle name="Linked Cell 14" xfId="1048" xr:uid="{00000000-0005-0000-0000-000011040000}"/>
    <cellStyle name="Linked Cell 15" xfId="1049" xr:uid="{00000000-0005-0000-0000-000012040000}"/>
    <cellStyle name="Linked Cell 16" xfId="1050" xr:uid="{00000000-0005-0000-0000-000013040000}"/>
    <cellStyle name="Linked Cell 2" xfId="1051" xr:uid="{00000000-0005-0000-0000-000014040000}"/>
    <cellStyle name="Linked Cell 3" xfId="1052" xr:uid="{00000000-0005-0000-0000-000015040000}"/>
    <cellStyle name="Linked Cell 4" xfId="1053" xr:uid="{00000000-0005-0000-0000-000016040000}"/>
    <cellStyle name="Linked Cell 5" xfId="1054" xr:uid="{00000000-0005-0000-0000-000017040000}"/>
    <cellStyle name="Linked Cell 6" xfId="1055" xr:uid="{00000000-0005-0000-0000-000018040000}"/>
    <cellStyle name="Linked Cell 7" xfId="1056" xr:uid="{00000000-0005-0000-0000-000019040000}"/>
    <cellStyle name="Linked Cell 8" xfId="1057" xr:uid="{00000000-0005-0000-0000-00001A040000}"/>
    <cellStyle name="Linked Cell 9" xfId="1058" xr:uid="{00000000-0005-0000-0000-00001B040000}"/>
    <cellStyle name="Neutral 10" xfId="1059" xr:uid="{00000000-0005-0000-0000-00001C040000}"/>
    <cellStyle name="Neutral 11" xfId="1060" xr:uid="{00000000-0005-0000-0000-00001D040000}"/>
    <cellStyle name="Neutral 12" xfId="1061" xr:uid="{00000000-0005-0000-0000-00001E040000}"/>
    <cellStyle name="Neutral 13" xfId="1062" xr:uid="{00000000-0005-0000-0000-00001F040000}"/>
    <cellStyle name="Neutral 14" xfId="1063" xr:uid="{00000000-0005-0000-0000-000020040000}"/>
    <cellStyle name="Neutral 15" xfId="1064" xr:uid="{00000000-0005-0000-0000-000021040000}"/>
    <cellStyle name="Neutral 16" xfId="1065" xr:uid="{00000000-0005-0000-0000-000022040000}"/>
    <cellStyle name="Neutral 2" xfId="1066" xr:uid="{00000000-0005-0000-0000-000023040000}"/>
    <cellStyle name="Neutral 3" xfId="1067" xr:uid="{00000000-0005-0000-0000-000024040000}"/>
    <cellStyle name="Neutral 4" xfId="1068" xr:uid="{00000000-0005-0000-0000-000025040000}"/>
    <cellStyle name="Neutral 5" xfId="1069" xr:uid="{00000000-0005-0000-0000-000026040000}"/>
    <cellStyle name="Neutral 6" xfId="1070" xr:uid="{00000000-0005-0000-0000-000027040000}"/>
    <cellStyle name="Neutral 7" xfId="1071" xr:uid="{00000000-0005-0000-0000-000028040000}"/>
    <cellStyle name="Neutral 8" xfId="1072" xr:uid="{00000000-0005-0000-0000-000029040000}"/>
    <cellStyle name="Neutral 9" xfId="1073" xr:uid="{00000000-0005-0000-0000-00002A040000}"/>
    <cellStyle name="Normal 10" xfId="1074" xr:uid="{00000000-0005-0000-0000-00002B040000}"/>
    <cellStyle name="Normal 10 2" xfId="1" xr:uid="{00000000-0005-0000-0000-00002C040000}"/>
    <cellStyle name="Normal 10 2 2" xfId="1075" xr:uid="{00000000-0005-0000-0000-00002D040000}"/>
    <cellStyle name="Normal 10 3" xfId="1076" xr:uid="{00000000-0005-0000-0000-00002E040000}"/>
    <cellStyle name="Normal 10 4" xfId="1077" xr:uid="{00000000-0005-0000-0000-00002F040000}"/>
    <cellStyle name="Normal 10 5" xfId="1078" xr:uid="{00000000-0005-0000-0000-000030040000}"/>
    <cellStyle name="Normal 10 5 2" xfId="1079" xr:uid="{00000000-0005-0000-0000-000031040000}"/>
    <cellStyle name="Normal 10 5 2 2" xfId="1080" xr:uid="{00000000-0005-0000-0000-000032040000}"/>
    <cellStyle name="Normal 10 5 3" xfId="1081" xr:uid="{00000000-0005-0000-0000-000033040000}"/>
    <cellStyle name="Normal 10 6" xfId="1082" xr:uid="{00000000-0005-0000-0000-000034040000}"/>
    <cellStyle name="Normal 10 6 2" xfId="1083" xr:uid="{00000000-0005-0000-0000-000035040000}"/>
    <cellStyle name="Normal 10 7" xfId="1084" xr:uid="{00000000-0005-0000-0000-000036040000}"/>
    <cellStyle name="Normal 11" xfId="1085" xr:uid="{00000000-0005-0000-0000-000037040000}"/>
    <cellStyle name="Normal 12" xfId="1086" xr:uid="{00000000-0005-0000-0000-000038040000}"/>
    <cellStyle name="Normal 12 2" xfId="1087" xr:uid="{00000000-0005-0000-0000-000039040000}"/>
    <cellStyle name="Normal 12 2 2" xfId="1088" xr:uid="{00000000-0005-0000-0000-00003A040000}"/>
    <cellStyle name="Normal 13" xfId="2" xr:uid="{00000000-0005-0000-0000-00003B040000}"/>
    <cellStyle name="Normal 14" xfId="1089" xr:uid="{00000000-0005-0000-0000-00003C040000}"/>
    <cellStyle name="Normal 14 2" xfId="1090" xr:uid="{00000000-0005-0000-0000-00003D040000}"/>
    <cellStyle name="Normal 15" xfId="1091" xr:uid="{00000000-0005-0000-0000-00003E040000}"/>
    <cellStyle name="Normal 16" xfId="1092" xr:uid="{00000000-0005-0000-0000-00003F040000}"/>
    <cellStyle name="Normal 17" xfId="1093" xr:uid="{00000000-0005-0000-0000-000040040000}"/>
    <cellStyle name="Normal 18" xfId="1094" xr:uid="{00000000-0005-0000-0000-000041040000}"/>
    <cellStyle name="Normal 19" xfId="1095" xr:uid="{00000000-0005-0000-0000-000042040000}"/>
    <cellStyle name="Normal 2" xfId="1096" xr:uid="{00000000-0005-0000-0000-000043040000}"/>
    <cellStyle name="Normal 2 10" xfId="4" xr:uid="{00000000-0005-0000-0000-000044040000}"/>
    <cellStyle name="Normal 2 10 2" xfId="1098" xr:uid="{00000000-0005-0000-0000-000045040000}"/>
    <cellStyle name="Normal 2 10 3" xfId="1099" xr:uid="{00000000-0005-0000-0000-000046040000}"/>
    <cellStyle name="Normal 2 10 4" xfId="1100" xr:uid="{00000000-0005-0000-0000-000047040000}"/>
    <cellStyle name="Normal 2 10 5" xfId="1097" xr:uid="{00000000-0005-0000-0000-000048040000}"/>
    <cellStyle name="Normal 2 10 9" xfId="3" xr:uid="{00000000-0005-0000-0000-000049040000}"/>
    <cellStyle name="Normal 2 10 9 2" xfId="1102" xr:uid="{00000000-0005-0000-0000-00004A040000}"/>
    <cellStyle name="Normal 2 10 9 3" xfId="1101" xr:uid="{00000000-0005-0000-0000-00004B040000}"/>
    <cellStyle name="Normal 2 11" xfId="1103" xr:uid="{00000000-0005-0000-0000-00004C040000}"/>
    <cellStyle name="Normal 2 11 2" xfId="1104" xr:uid="{00000000-0005-0000-0000-00004D040000}"/>
    <cellStyle name="Normal 2 12" xfId="1105" xr:uid="{00000000-0005-0000-0000-00004E040000}"/>
    <cellStyle name="Normal 2 13" xfId="1106" xr:uid="{00000000-0005-0000-0000-00004F040000}"/>
    <cellStyle name="Normal 2 13 10" xfId="1107" xr:uid="{00000000-0005-0000-0000-000050040000}"/>
    <cellStyle name="Normal 2 13 11" xfId="1108" xr:uid="{00000000-0005-0000-0000-000051040000}"/>
    <cellStyle name="Normal 2 13 12" xfId="1109" xr:uid="{00000000-0005-0000-0000-000052040000}"/>
    <cellStyle name="Normal 2 13 13" xfId="1110" xr:uid="{00000000-0005-0000-0000-000053040000}"/>
    <cellStyle name="Normal 2 13 2" xfId="1111" xr:uid="{00000000-0005-0000-0000-000054040000}"/>
    <cellStyle name="Normal 2 13 2 10" xfId="1112" xr:uid="{00000000-0005-0000-0000-000055040000}"/>
    <cellStyle name="Normal 2 13 2 11" xfId="1113" xr:uid="{00000000-0005-0000-0000-000056040000}"/>
    <cellStyle name="Normal 2 13 2 12" xfId="1114" xr:uid="{00000000-0005-0000-0000-000057040000}"/>
    <cellStyle name="Normal 2 13 2 13" xfId="1115" xr:uid="{00000000-0005-0000-0000-000058040000}"/>
    <cellStyle name="Normal 2 13 2 2" xfId="1116" xr:uid="{00000000-0005-0000-0000-000059040000}"/>
    <cellStyle name="Normal 2 13 2 3" xfId="1117" xr:uid="{00000000-0005-0000-0000-00005A040000}"/>
    <cellStyle name="Normal 2 13 2 4" xfId="1118" xr:uid="{00000000-0005-0000-0000-00005B040000}"/>
    <cellStyle name="Normal 2 13 2 5" xfId="1119" xr:uid="{00000000-0005-0000-0000-00005C040000}"/>
    <cellStyle name="Normal 2 13 2 6" xfId="1120" xr:uid="{00000000-0005-0000-0000-00005D040000}"/>
    <cellStyle name="Normal 2 13 2 7" xfId="1121" xr:uid="{00000000-0005-0000-0000-00005E040000}"/>
    <cellStyle name="Normal 2 13 2 8" xfId="1122" xr:uid="{00000000-0005-0000-0000-00005F040000}"/>
    <cellStyle name="Normal 2 13 2 9" xfId="1123" xr:uid="{00000000-0005-0000-0000-000060040000}"/>
    <cellStyle name="Normal 2 13 3" xfId="1124" xr:uid="{00000000-0005-0000-0000-000061040000}"/>
    <cellStyle name="Normal 2 13 4" xfId="1125" xr:uid="{00000000-0005-0000-0000-000062040000}"/>
    <cellStyle name="Normal 2 13 5" xfId="1126" xr:uid="{00000000-0005-0000-0000-000063040000}"/>
    <cellStyle name="Normal 2 13 6" xfId="1127" xr:uid="{00000000-0005-0000-0000-000064040000}"/>
    <cellStyle name="Normal 2 13 7" xfId="1128" xr:uid="{00000000-0005-0000-0000-000065040000}"/>
    <cellStyle name="Normal 2 13 8" xfId="1129" xr:uid="{00000000-0005-0000-0000-000066040000}"/>
    <cellStyle name="Normal 2 13 9" xfId="1130" xr:uid="{00000000-0005-0000-0000-000067040000}"/>
    <cellStyle name="Normal 2 14" xfId="1131" xr:uid="{00000000-0005-0000-0000-000068040000}"/>
    <cellStyle name="Normal 2 15" xfId="1132" xr:uid="{00000000-0005-0000-0000-000069040000}"/>
    <cellStyle name="Normal 2 16" xfId="1133" xr:uid="{00000000-0005-0000-0000-00006A040000}"/>
    <cellStyle name="Normal 2 17" xfId="1134" xr:uid="{00000000-0005-0000-0000-00006B040000}"/>
    <cellStyle name="Normal 2 18" xfId="1135" xr:uid="{00000000-0005-0000-0000-00006C040000}"/>
    <cellStyle name="Normal 2 19" xfId="1136" xr:uid="{00000000-0005-0000-0000-00006D040000}"/>
    <cellStyle name="Normal 2 2" xfId="1137" xr:uid="{00000000-0005-0000-0000-00006E040000}"/>
    <cellStyle name="Normal 2 2 10" xfId="1138" xr:uid="{00000000-0005-0000-0000-00006F040000}"/>
    <cellStyle name="Normal 2 2 10 2" xfId="1139" xr:uid="{00000000-0005-0000-0000-000070040000}"/>
    <cellStyle name="Normal 2 2 11" xfId="1140" xr:uid="{00000000-0005-0000-0000-000071040000}"/>
    <cellStyle name="Normal 2 2 11 2" xfId="1141" xr:uid="{00000000-0005-0000-0000-000072040000}"/>
    <cellStyle name="Normal 2 2 12" xfId="1142" xr:uid="{00000000-0005-0000-0000-000073040000}"/>
    <cellStyle name="Normal 2 2 12 2" xfId="1143" xr:uid="{00000000-0005-0000-0000-000074040000}"/>
    <cellStyle name="Normal 2 2 13" xfId="1144" xr:uid="{00000000-0005-0000-0000-000075040000}"/>
    <cellStyle name="Normal 2 2 13 2" xfId="1145" xr:uid="{00000000-0005-0000-0000-000076040000}"/>
    <cellStyle name="Normal 2 2 14" xfId="1146" xr:uid="{00000000-0005-0000-0000-000077040000}"/>
    <cellStyle name="Normal 2 2 14 2" xfId="1147" xr:uid="{00000000-0005-0000-0000-000078040000}"/>
    <cellStyle name="Normal 2 2 15" xfId="1148" xr:uid="{00000000-0005-0000-0000-000079040000}"/>
    <cellStyle name="Normal 2 2 15 2" xfId="1149" xr:uid="{00000000-0005-0000-0000-00007A040000}"/>
    <cellStyle name="Normal 2 2 16" xfId="1150" xr:uid="{00000000-0005-0000-0000-00007B040000}"/>
    <cellStyle name="Normal 2 2 16 2" xfId="1151" xr:uid="{00000000-0005-0000-0000-00007C040000}"/>
    <cellStyle name="Normal 2 2 17" xfId="1152" xr:uid="{00000000-0005-0000-0000-00007D040000}"/>
    <cellStyle name="Normal 2 2 17 2" xfId="1153" xr:uid="{00000000-0005-0000-0000-00007E040000}"/>
    <cellStyle name="Normal 2 2 18" xfId="1154" xr:uid="{00000000-0005-0000-0000-00007F040000}"/>
    <cellStyle name="Normal 2 2 18 2" xfId="1155" xr:uid="{00000000-0005-0000-0000-000080040000}"/>
    <cellStyle name="Normal 2 2 19" xfId="1156" xr:uid="{00000000-0005-0000-0000-000081040000}"/>
    <cellStyle name="Normal 2 2 19 2" xfId="1157" xr:uid="{00000000-0005-0000-0000-000082040000}"/>
    <cellStyle name="Normal 2 2 2" xfId="1158" xr:uid="{00000000-0005-0000-0000-000083040000}"/>
    <cellStyle name="Normal 2 2 2 2" xfId="1159" xr:uid="{00000000-0005-0000-0000-000084040000}"/>
    <cellStyle name="Normal 2 2 20" xfId="1160" xr:uid="{00000000-0005-0000-0000-000085040000}"/>
    <cellStyle name="Normal 2 2 21" xfId="1161" xr:uid="{00000000-0005-0000-0000-000086040000}"/>
    <cellStyle name="Normal 2 2 22" xfId="1162" xr:uid="{00000000-0005-0000-0000-000087040000}"/>
    <cellStyle name="Normal 2 2 3" xfId="6" xr:uid="{00000000-0005-0000-0000-000088040000}"/>
    <cellStyle name="Normal 2 2 4" xfId="1163" xr:uid="{00000000-0005-0000-0000-000089040000}"/>
    <cellStyle name="Normal 2 2 4 10" xfId="1164" xr:uid="{00000000-0005-0000-0000-00008A040000}"/>
    <cellStyle name="Normal 2 2 4 11" xfId="1165" xr:uid="{00000000-0005-0000-0000-00008B040000}"/>
    <cellStyle name="Normal 2 2 4 12" xfId="1166" xr:uid="{00000000-0005-0000-0000-00008C040000}"/>
    <cellStyle name="Normal 2 2 4 13" xfId="1167" xr:uid="{00000000-0005-0000-0000-00008D040000}"/>
    <cellStyle name="Normal 2 2 4 14" xfId="1168" xr:uid="{00000000-0005-0000-0000-00008E040000}"/>
    <cellStyle name="Normal 2 2 4 2" xfId="1169" xr:uid="{00000000-0005-0000-0000-00008F040000}"/>
    <cellStyle name="Normal 2 2 4 2 10" xfId="1170" xr:uid="{00000000-0005-0000-0000-000090040000}"/>
    <cellStyle name="Normal 2 2 4 2 10 2" xfId="1171" xr:uid="{00000000-0005-0000-0000-000091040000}"/>
    <cellStyle name="Normal 2 2 4 2 11" xfId="1172" xr:uid="{00000000-0005-0000-0000-000092040000}"/>
    <cellStyle name="Normal 2 2 4 2 11 2" xfId="1173" xr:uid="{00000000-0005-0000-0000-000093040000}"/>
    <cellStyle name="Normal 2 2 4 2 12" xfId="1174" xr:uid="{00000000-0005-0000-0000-000094040000}"/>
    <cellStyle name="Normal 2 2 4 2 12 2" xfId="1175" xr:uid="{00000000-0005-0000-0000-000095040000}"/>
    <cellStyle name="Normal 2 2 4 2 13" xfId="1176" xr:uid="{00000000-0005-0000-0000-000096040000}"/>
    <cellStyle name="Normal 2 2 4 2 13 2" xfId="1177" xr:uid="{00000000-0005-0000-0000-000097040000}"/>
    <cellStyle name="Normal 2 2 4 2 2" xfId="1178" xr:uid="{00000000-0005-0000-0000-000098040000}"/>
    <cellStyle name="Normal 2 2 4 2 2 2" xfId="1179" xr:uid="{00000000-0005-0000-0000-000099040000}"/>
    <cellStyle name="Normal 2 2 4 2 3" xfId="1180" xr:uid="{00000000-0005-0000-0000-00009A040000}"/>
    <cellStyle name="Normal 2 2 4 2 3 2" xfId="1181" xr:uid="{00000000-0005-0000-0000-00009B040000}"/>
    <cellStyle name="Normal 2 2 4 2 4" xfId="1182" xr:uid="{00000000-0005-0000-0000-00009C040000}"/>
    <cellStyle name="Normal 2 2 4 2 4 2" xfId="1183" xr:uid="{00000000-0005-0000-0000-00009D040000}"/>
    <cellStyle name="Normal 2 2 4 2 5" xfId="1184" xr:uid="{00000000-0005-0000-0000-00009E040000}"/>
    <cellStyle name="Normal 2 2 4 2 5 2" xfId="1185" xr:uid="{00000000-0005-0000-0000-00009F040000}"/>
    <cellStyle name="Normal 2 2 4 2 6" xfId="1186" xr:uid="{00000000-0005-0000-0000-0000A0040000}"/>
    <cellStyle name="Normal 2 2 4 2 6 2" xfId="1187" xr:uid="{00000000-0005-0000-0000-0000A1040000}"/>
    <cellStyle name="Normal 2 2 4 2 7" xfId="1188" xr:uid="{00000000-0005-0000-0000-0000A2040000}"/>
    <cellStyle name="Normal 2 2 4 2 7 2" xfId="1189" xr:uid="{00000000-0005-0000-0000-0000A3040000}"/>
    <cellStyle name="Normal 2 2 4 2 8" xfId="1190" xr:uid="{00000000-0005-0000-0000-0000A4040000}"/>
    <cellStyle name="Normal 2 2 4 2 8 2" xfId="1191" xr:uid="{00000000-0005-0000-0000-0000A5040000}"/>
    <cellStyle name="Normal 2 2 4 2 9" xfId="1192" xr:uid="{00000000-0005-0000-0000-0000A6040000}"/>
    <cellStyle name="Normal 2 2 4 2 9 2" xfId="1193" xr:uid="{00000000-0005-0000-0000-0000A7040000}"/>
    <cellStyle name="Normal 2 2 4 3" xfId="1194" xr:uid="{00000000-0005-0000-0000-0000A8040000}"/>
    <cellStyle name="Normal 2 2 4 4" xfId="1195" xr:uid="{00000000-0005-0000-0000-0000A9040000}"/>
    <cellStyle name="Normal 2 2 4 5" xfId="1196" xr:uid="{00000000-0005-0000-0000-0000AA040000}"/>
    <cellStyle name="Normal 2 2 4 6" xfId="1197" xr:uid="{00000000-0005-0000-0000-0000AB040000}"/>
    <cellStyle name="Normal 2 2 4 7" xfId="1198" xr:uid="{00000000-0005-0000-0000-0000AC040000}"/>
    <cellStyle name="Normal 2 2 4 8" xfId="1199" xr:uid="{00000000-0005-0000-0000-0000AD040000}"/>
    <cellStyle name="Normal 2 2 4 9" xfId="1200" xr:uid="{00000000-0005-0000-0000-0000AE040000}"/>
    <cellStyle name="Normal 2 2 5" xfId="1201" xr:uid="{00000000-0005-0000-0000-0000AF040000}"/>
    <cellStyle name="Normal 2 2 5 2" xfId="1202" xr:uid="{00000000-0005-0000-0000-0000B0040000}"/>
    <cellStyle name="Normal 2 2 6" xfId="1203" xr:uid="{00000000-0005-0000-0000-0000B1040000}"/>
    <cellStyle name="Normal 2 2 6 2" xfId="1204" xr:uid="{00000000-0005-0000-0000-0000B2040000}"/>
    <cellStyle name="Normal 2 2 7" xfId="1205" xr:uid="{00000000-0005-0000-0000-0000B3040000}"/>
    <cellStyle name="Normal 2 2 7 2" xfId="1206" xr:uid="{00000000-0005-0000-0000-0000B4040000}"/>
    <cellStyle name="Normal 2 2 8" xfId="1207" xr:uid="{00000000-0005-0000-0000-0000B5040000}"/>
    <cellStyle name="Normal 2 2 8 2" xfId="1208" xr:uid="{00000000-0005-0000-0000-0000B6040000}"/>
    <cellStyle name="Normal 2 2 8 2 2" xfId="1209" xr:uid="{00000000-0005-0000-0000-0000B7040000}"/>
    <cellStyle name="Normal 2 2 8 3" xfId="1210" xr:uid="{00000000-0005-0000-0000-0000B8040000}"/>
    <cellStyle name="Normal 2 2 9" xfId="1211" xr:uid="{00000000-0005-0000-0000-0000B9040000}"/>
    <cellStyle name="Normal 2 2 9 2" xfId="1212" xr:uid="{00000000-0005-0000-0000-0000BA040000}"/>
    <cellStyle name="Normal 2 20" xfId="1213" xr:uid="{00000000-0005-0000-0000-0000BB040000}"/>
    <cellStyle name="Normal 2 21" xfId="1214" xr:uid="{00000000-0005-0000-0000-0000BC040000}"/>
    <cellStyle name="Normal 2 22" xfId="1215" xr:uid="{00000000-0005-0000-0000-0000BD040000}"/>
    <cellStyle name="Normal 2 23" xfId="1216" xr:uid="{00000000-0005-0000-0000-0000BE040000}"/>
    <cellStyle name="Normal 2 24" xfId="1217" xr:uid="{00000000-0005-0000-0000-0000BF040000}"/>
    <cellStyle name="Normal 2 25" xfId="1218" xr:uid="{00000000-0005-0000-0000-0000C0040000}"/>
    <cellStyle name="Normal 2 26" xfId="1219" xr:uid="{00000000-0005-0000-0000-0000C1040000}"/>
    <cellStyle name="Normal 2 27" xfId="1220" xr:uid="{00000000-0005-0000-0000-0000C2040000}"/>
    <cellStyle name="Normal 2 28" xfId="1221" xr:uid="{00000000-0005-0000-0000-0000C3040000}"/>
    <cellStyle name="Normal 2 3" xfId="1222" xr:uid="{00000000-0005-0000-0000-0000C4040000}"/>
    <cellStyle name="Normal 2 3 2" xfId="1223" xr:uid="{00000000-0005-0000-0000-0000C5040000}"/>
    <cellStyle name="Normal 2 4" xfId="10" xr:uid="{00000000-0005-0000-0000-0000C6040000}"/>
    <cellStyle name="Normal 2 5" xfId="1224" xr:uid="{00000000-0005-0000-0000-0000C7040000}"/>
    <cellStyle name="Normal 2 6" xfId="1225" xr:uid="{00000000-0005-0000-0000-0000C8040000}"/>
    <cellStyle name="Normal 2 7" xfId="1226" xr:uid="{00000000-0005-0000-0000-0000C9040000}"/>
    <cellStyle name="Normal 2 7 2" xfId="1227" xr:uid="{00000000-0005-0000-0000-0000CA040000}"/>
    <cellStyle name="Normal 2 8" xfId="1228" xr:uid="{00000000-0005-0000-0000-0000CB040000}"/>
    <cellStyle name="Normal 2 8 2" xfId="1229" xr:uid="{00000000-0005-0000-0000-0000CC040000}"/>
    <cellStyle name="Normal 2 9" xfId="1230" xr:uid="{00000000-0005-0000-0000-0000CD040000}"/>
    <cellStyle name="Normal 2 9 2" xfId="1231" xr:uid="{00000000-0005-0000-0000-0000CE040000}"/>
    <cellStyle name="Normal 2_2210_2220_2230_2240_2250_2260" xfId="1232" xr:uid="{00000000-0005-0000-0000-0000CF040000}"/>
    <cellStyle name="Normal 20" xfId="1233" xr:uid="{00000000-0005-0000-0000-0000D0040000}"/>
    <cellStyle name="Normal 21" xfId="1234" xr:uid="{00000000-0005-0000-0000-0000D1040000}"/>
    <cellStyle name="Normal 22" xfId="1235" xr:uid="{00000000-0005-0000-0000-0000D2040000}"/>
    <cellStyle name="Normal 23" xfId="1236" xr:uid="{00000000-0005-0000-0000-0000D3040000}"/>
    <cellStyle name="Normal 24" xfId="1237" xr:uid="{00000000-0005-0000-0000-0000D4040000}"/>
    <cellStyle name="Normal 25" xfId="1238" xr:uid="{00000000-0005-0000-0000-0000D5040000}"/>
    <cellStyle name="Normal 26" xfId="8" xr:uid="{00000000-0005-0000-0000-0000D6040000}"/>
    <cellStyle name="Normal 26 2" xfId="1240" xr:uid="{00000000-0005-0000-0000-0000D7040000}"/>
    <cellStyle name="Normal 26 3" xfId="1241" xr:uid="{00000000-0005-0000-0000-0000D8040000}"/>
    <cellStyle name="Normal 26 4" xfId="1239" xr:uid="{00000000-0005-0000-0000-0000D9040000}"/>
    <cellStyle name="Normal 27" xfId="11" xr:uid="{00000000-0005-0000-0000-0000DA040000}"/>
    <cellStyle name="Normal 28" xfId="1242" xr:uid="{00000000-0005-0000-0000-0000DB040000}"/>
    <cellStyle name="Normal 29" xfId="1243" xr:uid="{00000000-0005-0000-0000-0000DC040000}"/>
    <cellStyle name="Normal 29 2" xfId="1244" xr:uid="{00000000-0005-0000-0000-0000DD040000}"/>
    <cellStyle name="Normal 3" xfId="1245" xr:uid="{00000000-0005-0000-0000-0000DE040000}"/>
    <cellStyle name="Normal 3 10" xfId="1246" xr:uid="{00000000-0005-0000-0000-0000DF040000}"/>
    <cellStyle name="Normal 3 10 2" xfId="1247" xr:uid="{00000000-0005-0000-0000-0000E0040000}"/>
    <cellStyle name="Normal 3 11" xfId="1248" xr:uid="{00000000-0005-0000-0000-0000E1040000}"/>
    <cellStyle name="Normal 3 12" xfId="1249" xr:uid="{00000000-0005-0000-0000-0000E2040000}"/>
    <cellStyle name="Normal 3 13" xfId="1250" xr:uid="{00000000-0005-0000-0000-0000E3040000}"/>
    <cellStyle name="Normal 3 14" xfId="1251" xr:uid="{00000000-0005-0000-0000-0000E4040000}"/>
    <cellStyle name="Normal 3 15" xfId="1252" xr:uid="{00000000-0005-0000-0000-0000E5040000}"/>
    <cellStyle name="Normal 3 16" xfId="1253" xr:uid="{00000000-0005-0000-0000-0000E6040000}"/>
    <cellStyle name="Normal 3 17" xfId="1254" xr:uid="{00000000-0005-0000-0000-0000E7040000}"/>
    <cellStyle name="Normal 3 18" xfId="1255" xr:uid="{00000000-0005-0000-0000-0000E8040000}"/>
    <cellStyle name="Normal 3 19" xfId="1256" xr:uid="{00000000-0005-0000-0000-0000E9040000}"/>
    <cellStyle name="Normal 3 2" xfId="1257" xr:uid="{00000000-0005-0000-0000-0000EA040000}"/>
    <cellStyle name="Normal 3 2 2" xfId="1258" xr:uid="{00000000-0005-0000-0000-0000EB040000}"/>
    <cellStyle name="Normal 3 20" xfId="1259" xr:uid="{00000000-0005-0000-0000-0000EC040000}"/>
    <cellStyle name="Normal 3 21" xfId="1260" xr:uid="{00000000-0005-0000-0000-0000ED040000}"/>
    <cellStyle name="Normal 3 22" xfId="1261" xr:uid="{00000000-0005-0000-0000-0000EE040000}"/>
    <cellStyle name="Normal 3 23" xfId="1262" xr:uid="{00000000-0005-0000-0000-0000EF040000}"/>
    <cellStyle name="Normal 3 24" xfId="1462" xr:uid="{00000000-0005-0000-0000-0000F0040000}"/>
    <cellStyle name="Normal 3 3" xfId="1263" xr:uid="{00000000-0005-0000-0000-0000F1040000}"/>
    <cellStyle name="Normal 3 3 2" xfId="1264" xr:uid="{00000000-0005-0000-0000-0000F2040000}"/>
    <cellStyle name="Normal 3 4" xfId="1265" xr:uid="{00000000-0005-0000-0000-0000F3040000}"/>
    <cellStyle name="Normal 3 4 2" xfId="1266" xr:uid="{00000000-0005-0000-0000-0000F4040000}"/>
    <cellStyle name="Normal 3 5" xfId="1267" xr:uid="{00000000-0005-0000-0000-0000F5040000}"/>
    <cellStyle name="Normal 3 6" xfId="1268" xr:uid="{00000000-0005-0000-0000-0000F6040000}"/>
    <cellStyle name="Normal 3 6 2" xfId="1269" xr:uid="{00000000-0005-0000-0000-0000F7040000}"/>
    <cellStyle name="Normal 3 7" xfId="1270" xr:uid="{00000000-0005-0000-0000-0000F8040000}"/>
    <cellStyle name="Normal 3 7 2" xfId="1271" xr:uid="{00000000-0005-0000-0000-0000F9040000}"/>
    <cellStyle name="Normal 3 8" xfId="1272" xr:uid="{00000000-0005-0000-0000-0000FA040000}"/>
    <cellStyle name="Normal 3 8 2" xfId="1273" xr:uid="{00000000-0005-0000-0000-0000FB040000}"/>
    <cellStyle name="Normal 3 9" xfId="1274" xr:uid="{00000000-0005-0000-0000-0000FC040000}"/>
    <cellStyle name="Normal 3 9 2" xfId="1275" xr:uid="{00000000-0005-0000-0000-0000FD040000}"/>
    <cellStyle name="Normal 3_2210_2220_2230_2240_2250_2260" xfId="1276" xr:uid="{00000000-0005-0000-0000-0000FE040000}"/>
    <cellStyle name="Normal 30" xfId="1277" xr:uid="{00000000-0005-0000-0000-0000FF040000}"/>
    <cellStyle name="Normal 30 2" xfId="1278" xr:uid="{00000000-0005-0000-0000-000000050000}"/>
    <cellStyle name="Normal 31" xfId="1279" xr:uid="{00000000-0005-0000-0000-000001050000}"/>
    <cellStyle name="Normal 31 2" xfId="1280" xr:uid="{00000000-0005-0000-0000-000002050000}"/>
    <cellStyle name="Normal 32" xfId="1281" xr:uid="{00000000-0005-0000-0000-000003050000}"/>
    <cellStyle name="Normal 32 2" xfId="1282" xr:uid="{00000000-0005-0000-0000-000004050000}"/>
    <cellStyle name="Normal 32 2 2" xfId="1283" xr:uid="{00000000-0005-0000-0000-000005050000}"/>
    <cellStyle name="Normal 32 3" xfId="1284" xr:uid="{00000000-0005-0000-0000-000006050000}"/>
    <cellStyle name="Normal 32 3 2" xfId="1285" xr:uid="{00000000-0005-0000-0000-000007050000}"/>
    <cellStyle name="Normal 32 4" xfId="1286" xr:uid="{00000000-0005-0000-0000-000008050000}"/>
    <cellStyle name="Normal 32 4 2" xfId="1287" xr:uid="{00000000-0005-0000-0000-000009050000}"/>
    <cellStyle name="Normal 32 5" xfId="1288" xr:uid="{00000000-0005-0000-0000-00000A050000}"/>
    <cellStyle name="Normal 33" xfId="1289" xr:uid="{00000000-0005-0000-0000-00000B050000}"/>
    <cellStyle name="Normal 33 2" xfId="1290" xr:uid="{00000000-0005-0000-0000-00000C050000}"/>
    <cellStyle name="Normal 34" xfId="1291" xr:uid="{00000000-0005-0000-0000-00000D050000}"/>
    <cellStyle name="Normal 34 2" xfId="1292" xr:uid="{00000000-0005-0000-0000-00000E050000}"/>
    <cellStyle name="Normal 35" xfId="1293" xr:uid="{00000000-0005-0000-0000-00000F050000}"/>
    <cellStyle name="Normal 35 2" xfId="1294" xr:uid="{00000000-0005-0000-0000-000010050000}"/>
    <cellStyle name="Normal 36" xfId="1295" xr:uid="{00000000-0005-0000-0000-000011050000}"/>
    <cellStyle name="Normal 36 2" xfId="1296" xr:uid="{00000000-0005-0000-0000-000012050000}"/>
    <cellStyle name="Normal 37" xfId="1297" xr:uid="{00000000-0005-0000-0000-000013050000}"/>
    <cellStyle name="Normal 37 2" xfId="1298" xr:uid="{00000000-0005-0000-0000-000014050000}"/>
    <cellStyle name="Normal 38" xfId="1299" xr:uid="{00000000-0005-0000-0000-000015050000}"/>
    <cellStyle name="Normal 39" xfId="1461" xr:uid="{00000000-0005-0000-0000-000016050000}"/>
    <cellStyle name="Normal 4" xfId="1300" xr:uid="{00000000-0005-0000-0000-000017050000}"/>
    <cellStyle name="Normal 4 10" xfId="1301" xr:uid="{00000000-0005-0000-0000-000018050000}"/>
    <cellStyle name="Normal 4 11" xfId="1302" xr:uid="{00000000-0005-0000-0000-000019050000}"/>
    <cellStyle name="Normal 4 12" xfId="1303" xr:uid="{00000000-0005-0000-0000-00001A050000}"/>
    <cellStyle name="Normal 4 13" xfId="1304" xr:uid="{00000000-0005-0000-0000-00001B050000}"/>
    <cellStyle name="Normal 4 14" xfId="1305" xr:uid="{00000000-0005-0000-0000-00001C050000}"/>
    <cellStyle name="Normal 4 15" xfId="1306" xr:uid="{00000000-0005-0000-0000-00001D050000}"/>
    <cellStyle name="Normal 4 16" xfId="1307" xr:uid="{00000000-0005-0000-0000-00001E050000}"/>
    <cellStyle name="Normal 4 17" xfId="1308" xr:uid="{00000000-0005-0000-0000-00001F050000}"/>
    <cellStyle name="Normal 4 2" xfId="1309" xr:uid="{00000000-0005-0000-0000-000020050000}"/>
    <cellStyle name="Normal 4 2 2" xfId="1310" xr:uid="{00000000-0005-0000-0000-000021050000}"/>
    <cellStyle name="Normal 4 2 2 2" xfId="1311" xr:uid="{00000000-0005-0000-0000-000022050000}"/>
    <cellStyle name="Normal 4 2 3" xfId="1312" xr:uid="{00000000-0005-0000-0000-000023050000}"/>
    <cellStyle name="Normal 4 3" xfId="1313" xr:uid="{00000000-0005-0000-0000-000024050000}"/>
    <cellStyle name="Normal 4 3 2" xfId="1314" xr:uid="{00000000-0005-0000-0000-000025050000}"/>
    <cellStyle name="Normal 4 4" xfId="1315" xr:uid="{00000000-0005-0000-0000-000026050000}"/>
    <cellStyle name="Normal 4 4 2" xfId="1316" xr:uid="{00000000-0005-0000-0000-000027050000}"/>
    <cellStyle name="Normal 4 5" xfId="1317" xr:uid="{00000000-0005-0000-0000-000028050000}"/>
    <cellStyle name="Normal 4 6" xfId="1318" xr:uid="{00000000-0005-0000-0000-000029050000}"/>
    <cellStyle name="Normal 4 7" xfId="1319" xr:uid="{00000000-0005-0000-0000-00002A050000}"/>
    <cellStyle name="Normal 4 8" xfId="1320" xr:uid="{00000000-0005-0000-0000-00002B050000}"/>
    <cellStyle name="Normal 4 9" xfId="1321" xr:uid="{00000000-0005-0000-0000-00002C050000}"/>
    <cellStyle name="Normal 4_2210_2220_2230_2240_2250_2260" xfId="1322" xr:uid="{00000000-0005-0000-0000-00002D050000}"/>
    <cellStyle name="Normal 40" xfId="1466" xr:uid="{00000000-0005-0000-0000-00002E050000}"/>
    <cellStyle name="Normal 45" xfId="1323" xr:uid="{00000000-0005-0000-0000-00002F050000}"/>
    <cellStyle name="Normal 45 2" xfId="1324" xr:uid="{00000000-0005-0000-0000-000030050000}"/>
    <cellStyle name="Normal 45 2 2" xfId="1325" xr:uid="{00000000-0005-0000-0000-000031050000}"/>
    <cellStyle name="Normal 45 3" xfId="1326" xr:uid="{00000000-0005-0000-0000-000032050000}"/>
    <cellStyle name="Normal 45 3 2" xfId="1327" xr:uid="{00000000-0005-0000-0000-000033050000}"/>
    <cellStyle name="Normal 45 4" xfId="1328" xr:uid="{00000000-0005-0000-0000-000034050000}"/>
    <cellStyle name="Normal 45 4 2" xfId="1329" xr:uid="{00000000-0005-0000-0000-000035050000}"/>
    <cellStyle name="Normal 45 5" xfId="1330" xr:uid="{00000000-0005-0000-0000-000036050000}"/>
    <cellStyle name="Normal 5" xfId="1331" xr:uid="{00000000-0005-0000-0000-000037050000}"/>
    <cellStyle name="Normal 5 2" xfId="1332" xr:uid="{00000000-0005-0000-0000-000038050000}"/>
    <cellStyle name="Normal 5 3" xfId="1333" xr:uid="{00000000-0005-0000-0000-000039050000}"/>
    <cellStyle name="Normal 50" xfId="1334" xr:uid="{00000000-0005-0000-0000-00003A050000}"/>
    <cellStyle name="Normal 50 2" xfId="1335" xr:uid="{00000000-0005-0000-0000-00003B050000}"/>
    <cellStyle name="Normal 50 2 2" xfId="1336" xr:uid="{00000000-0005-0000-0000-00003C050000}"/>
    <cellStyle name="Normal 50 3" xfId="1337" xr:uid="{00000000-0005-0000-0000-00003D050000}"/>
    <cellStyle name="Normal 50 3 2" xfId="1338" xr:uid="{00000000-0005-0000-0000-00003E050000}"/>
    <cellStyle name="Normal 50 4" xfId="1339" xr:uid="{00000000-0005-0000-0000-00003F050000}"/>
    <cellStyle name="Normal 51" xfId="1340" xr:uid="{00000000-0005-0000-0000-000040050000}"/>
    <cellStyle name="Normal 51 2" xfId="1341" xr:uid="{00000000-0005-0000-0000-000041050000}"/>
    <cellStyle name="Normal 51 2 2" xfId="1342" xr:uid="{00000000-0005-0000-0000-000042050000}"/>
    <cellStyle name="Normal 51 3" xfId="1343" xr:uid="{00000000-0005-0000-0000-000043050000}"/>
    <cellStyle name="Normal 51 3 2" xfId="1344" xr:uid="{00000000-0005-0000-0000-000044050000}"/>
    <cellStyle name="Normal 51 4" xfId="1345" xr:uid="{00000000-0005-0000-0000-000045050000}"/>
    <cellStyle name="Normal 6" xfId="1346" xr:uid="{00000000-0005-0000-0000-000046050000}"/>
    <cellStyle name="Normal 6 2" xfId="1347" xr:uid="{00000000-0005-0000-0000-000047050000}"/>
    <cellStyle name="Normal 6 2 2" xfId="1348" xr:uid="{00000000-0005-0000-0000-000048050000}"/>
    <cellStyle name="Normal 6 3" xfId="1349" xr:uid="{00000000-0005-0000-0000-000049050000}"/>
    <cellStyle name="Normal 6 4" xfId="1350" xr:uid="{00000000-0005-0000-0000-00004A050000}"/>
    <cellStyle name="Normal 6 4 2" xfId="7" xr:uid="{00000000-0005-0000-0000-00004B050000}"/>
    <cellStyle name="Normal 6 4 2 2" xfId="1352" xr:uid="{00000000-0005-0000-0000-00004C050000}"/>
    <cellStyle name="Normal 6 4 2 2 2" xfId="1353" xr:uid="{00000000-0005-0000-0000-00004D050000}"/>
    <cellStyle name="Normal 6 4 2 3" xfId="1354" xr:uid="{00000000-0005-0000-0000-00004E050000}"/>
    <cellStyle name="Normal 6 4 2 4" xfId="1355" xr:uid="{00000000-0005-0000-0000-00004F050000}"/>
    <cellStyle name="Normal 6 4 2 5" xfId="1351" xr:uid="{00000000-0005-0000-0000-000050050000}"/>
    <cellStyle name="Normal 6 4 3" xfId="1356" xr:uid="{00000000-0005-0000-0000-000051050000}"/>
    <cellStyle name="Normal 60 2" xfId="1357" xr:uid="{00000000-0005-0000-0000-000052050000}"/>
    <cellStyle name="Normal 60 2 2" xfId="1358" xr:uid="{00000000-0005-0000-0000-000053050000}"/>
    <cellStyle name="Normal 7" xfId="1359" xr:uid="{00000000-0005-0000-0000-000054050000}"/>
    <cellStyle name="Normal 70" xfId="1360" xr:uid="{00000000-0005-0000-0000-000055050000}"/>
    <cellStyle name="Normal 8" xfId="1361" xr:uid="{00000000-0005-0000-0000-000056050000}"/>
    <cellStyle name="Normal 8 2" xfId="5" xr:uid="{00000000-0005-0000-0000-000057050000}"/>
    <cellStyle name="Normal 9" xfId="1362" xr:uid="{00000000-0005-0000-0000-000058050000}"/>
    <cellStyle name="Normal_Sheet3" xfId="1467" xr:uid="{00000000-0005-0000-0000-000059050000}"/>
    <cellStyle name="Note 10" xfId="1363" xr:uid="{00000000-0005-0000-0000-00005A050000}"/>
    <cellStyle name="Note 11" xfId="1364" xr:uid="{00000000-0005-0000-0000-00005B050000}"/>
    <cellStyle name="Note 12" xfId="1365" xr:uid="{00000000-0005-0000-0000-00005C050000}"/>
    <cellStyle name="Note 13" xfId="1366" xr:uid="{00000000-0005-0000-0000-00005D050000}"/>
    <cellStyle name="Note 14" xfId="1367" xr:uid="{00000000-0005-0000-0000-00005E050000}"/>
    <cellStyle name="Note 15" xfId="1368" xr:uid="{00000000-0005-0000-0000-00005F050000}"/>
    <cellStyle name="Note 16" xfId="1369" xr:uid="{00000000-0005-0000-0000-000060050000}"/>
    <cellStyle name="Note 2" xfId="1370" xr:uid="{00000000-0005-0000-0000-000061050000}"/>
    <cellStyle name="Note 3" xfId="1371" xr:uid="{00000000-0005-0000-0000-000062050000}"/>
    <cellStyle name="Note 4" xfId="1372" xr:uid="{00000000-0005-0000-0000-000063050000}"/>
    <cellStyle name="Note 5" xfId="1373" xr:uid="{00000000-0005-0000-0000-000064050000}"/>
    <cellStyle name="Note 6" xfId="1374" xr:uid="{00000000-0005-0000-0000-000065050000}"/>
    <cellStyle name="Note 7" xfId="1375" xr:uid="{00000000-0005-0000-0000-000066050000}"/>
    <cellStyle name="Note 8" xfId="1376" xr:uid="{00000000-0005-0000-0000-000067050000}"/>
    <cellStyle name="Note 9" xfId="1377" xr:uid="{00000000-0005-0000-0000-000068050000}"/>
    <cellStyle name="Output 10" xfId="1378" xr:uid="{00000000-0005-0000-0000-000069050000}"/>
    <cellStyle name="Output 11" xfId="1379" xr:uid="{00000000-0005-0000-0000-00006A050000}"/>
    <cellStyle name="Output 12" xfId="1380" xr:uid="{00000000-0005-0000-0000-00006B050000}"/>
    <cellStyle name="Output 13" xfId="1381" xr:uid="{00000000-0005-0000-0000-00006C050000}"/>
    <cellStyle name="Output 14" xfId="1382" xr:uid="{00000000-0005-0000-0000-00006D050000}"/>
    <cellStyle name="Output 15" xfId="1383" xr:uid="{00000000-0005-0000-0000-00006E050000}"/>
    <cellStyle name="Output 16" xfId="1384" xr:uid="{00000000-0005-0000-0000-00006F050000}"/>
    <cellStyle name="Output 2" xfId="1385" xr:uid="{00000000-0005-0000-0000-000070050000}"/>
    <cellStyle name="Output 3" xfId="1386" xr:uid="{00000000-0005-0000-0000-000071050000}"/>
    <cellStyle name="Output 4" xfId="1387" xr:uid="{00000000-0005-0000-0000-000072050000}"/>
    <cellStyle name="Output 5" xfId="1388" xr:uid="{00000000-0005-0000-0000-000073050000}"/>
    <cellStyle name="Output 6" xfId="1389" xr:uid="{00000000-0005-0000-0000-000074050000}"/>
    <cellStyle name="Output 7" xfId="1390" xr:uid="{00000000-0005-0000-0000-000075050000}"/>
    <cellStyle name="Output 8" xfId="1391" xr:uid="{00000000-0005-0000-0000-000076050000}"/>
    <cellStyle name="Output 9" xfId="1392" xr:uid="{00000000-0005-0000-0000-000077050000}"/>
    <cellStyle name="Parasts" xfId="0" builtinId="0"/>
    <cellStyle name="Percent 2" xfId="1393" xr:uid="{00000000-0005-0000-0000-000078050000}"/>
    <cellStyle name="Percent 2 2" xfId="1394" xr:uid="{00000000-0005-0000-0000-000079050000}"/>
    <cellStyle name="Percent 3" xfId="1395" xr:uid="{00000000-0005-0000-0000-00007A050000}"/>
    <cellStyle name="Percent 4" xfId="1396" xr:uid="{00000000-0005-0000-0000-00007B050000}"/>
    <cellStyle name="Percent 5" xfId="1397" xr:uid="{00000000-0005-0000-0000-00007C050000}"/>
    <cellStyle name="Percent 6" xfId="1398" xr:uid="{00000000-0005-0000-0000-00007D050000}"/>
    <cellStyle name="Percent 6 2" xfId="1399" xr:uid="{00000000-0005-0000-0000-00007E050000}"/>
    <cellStyle name="Procenti" xfId="12" builtinId="5"/>
    <cellStyle name="Title 10" xfId="1400" xr:uid="{00000000-0005-0000-0000-00007F050000}"/>
    <cellStyle name="Title 11" xfId="1401" xr:uid="{00000000-0005-0000-0000-000080050000}"/>
    <cellStyle name="Title 12" xfId="1402" xr:uid="{00000000-0005-0000-0000-000081050000}"/>
    <cellStyle name="Title 13" xfId="1403" xr:uid="{00000000-0005-0000-0000-000082050000}"/>
    <cellStyle name="Title 14" xfId="1404" xr:uid="{00000000-0005-0000-0000-000083050000}"/>
    <cellStyle name="Title 15" xfId="1405" xr:uid="{00000000-0005-0000-0000-000084050000}"/>
    <cellStyle name="Title 16" xfId="1406" xr:uid="{00000000-0005-0000-0000-000085050000}"/>
    <cellStyle name="Title 2" xfId="1407" xr:uid="{00000000-0005-0000-0000-000086050000}"/>
    <cellStyle name="Title 3" xfId="1408" xr:uid="{00000000-0005-0000-0000-000087050000}"/>
    <cellStyle name="Title 4" xfId="1409" xr:uid="{00000000-0005-0000-0000-000088050000}"/>
    <cellStyle name="Title 5" xfId="1410" xr:uid="{00000000-0005-0000-0000-000089050000}"/>
    <cellStyle name="Title 6" xfId="1411" xr:uid="{00000000-0005-0000-0000-00008A050000}"/>
    <cellStyle name="Title 7" xfId="1412" xr:uid="{00000000-0005-0000-0000-00008B050000}"/>
    <cellStyle name="Title 8" xfId="1413" xr:uid="{00000000-0005-0000-0000-00008C050000}"/>
    <cellStyle name="Title 9" xfId="1414" xr:uid="{00000000-0005-0000-0000-00008D050000}"/>
    <cellStyle name="Total 10" xfId="1415" xr:uid="{00000000-0005-0000-0000-00008E050000}"/>
    <cellStyle name="Total 10 2" xfId="1416" xr:uid="{00000000-0005-0000-0000-00008F050000}"/>
    <cellStyle name="Total 11" xfId="1417" xr:uid="{00000000-0005-0000-0000-000090050000}"/>
    <cellStyle name="Total 11 2" xfId="1418" xr:uid="{00000000-0005-0000-0000-000091050000}"/>
    <cellStyle name="Total 12" xfId="1419" xr:uid="{00000000-0005-0000-0000-000092050000}"/>
    <cellStyle name="Total 12 2" xfId="1420" xr:uid="{00000000-0005-0000-0000-000093050000}"/>
    <cellStyle name="Total 13" xfId="1421" xr:uid="{00000000-0005-0000-0000-000094050000}"/>
    <cellStyle name="Total 13 2" xfId="1422" xr:uid="{00000000-0005-0000-0000-000095050000}"/>
    <cellStyle name="Total 14" xfId="1423" xr:uid="{00000000-0005-0000-0000-000096050000}"/>
    <cellStyle name="Total 14 2" xfId="1424" xr:uid="{00000000-0005-0000-0000-000097050000}"/>
    <cellStyle name="Total 15" xfId="1425" xr:uid="{00000000-0005-0000-0000-000098050000}"/>
    <cellStyle name="Total 15 2" xfId="1426" xr:uid="{00000000-0005-0000-0000-000099050000}"/>
    <cellStyle name="Total 16" xfId="1427" xr:uid="{00000000-0005-0000-0000-00009A050000}"/>
    <cellStyle name="Total 2" xfId="1428" xr:uid="{00000000-0005-0000-0000-00009B050000}"/>
    <cellStyle name="Total 2 2" xfId="1429" xr:uid="{00000000-0005-0000-0000-00009C050000}"/>
    <cellStyle name="Total 3" xfId="1430" xr:uid="{00000000-0005-0000-0000-00009D050000}"/>
    <cellStyle name="Total 3 2" xfId="1431" xr:uid="{00000000-0005-0000-0000-00009E050000}"/>
    <cellStyle name="Total 4" xfId="1432" xr:uid="{00000000-0005-0000-0000-00009F050000}"/>
    <cellStyle name="Total 4 2" xfId="1433" xr:uid="{00000000-0005-0000-0000-0000A0050000}"/>
    <cellStyle name="Total 5" xfId="1434" xr:uid="{00000000-0005-0000-0000-0000A1050000}"/>
    <cellStyle name="Total 5 2" xfId="1435" xr:uid="{00000000-0005-0000-0000-0000A2050000}"/>
    <cellStyle name="Total 6" xfId="1436" xr:uid="{00000000-0005-0000-0000-0000A3050000}"/>
    <cellStyle name="Total 6 2" xfId="1437" xr:uid="{00000000-0005-0000-0000-0000A4050000}"/>
    <cellStyle name="Total 7" xfId="1438" xr:uid="{00000000-0005-0000-0000-0000A5050000}"/>
    <cellStyle name="Total 7 2" xfId="1439" xr:uid="{00000000-0005-0000-0000-0000A6050000}"/>
    <cellStyle name="Total 8" xfId="1440" xr:uid="{00000000-0005-0000-0000-0000A7050000}"/>
    <cellStyle name="Total 8 2" xfId="1441" xr:uid="{00000000-0005-0000-0000-0000A8050000}"/>
    <cellStyle name="Total 9" xfId="1442" xr:uid="{00000000-0005-0000-0000-0000A9050000}"/>
    <cellStyle name="Total 9 2" xfId="1443" xr:uid="{00000000-0005-0000-0000-0000AA050000}"/>
    <cellStyle name="Warning Text 10" xfId="1444" xr:uid="{00000000-0005-0000-0000-0000AB050000}"/>
    <cellStyle name="Warning Text 11" xfId="1445" xr:uid="{00000000-0005-0000-0000-0000AC050000}"/>
    <cellStyle name="Warning Text 12" xfId="1446" xr:uid="{00000000-0005-0000-0000-0000AD050000}"/>
    <cellStyle name="Warning Text 13" xfId="1447" xr:uid="{00000000-0005-0000-0000-0000AE050000}"/>
    <cellStyle name="Warning Text 14" xfId="1448" xr:uid="{00000000-0005-0000-0000-0000AF050000}"/>
    <cellStyle name="Warning Text 15" xfId="1449" xr:uid="{00000000-0005-0000-0000-0000B0050000}"/>
    <cellStyle name="Warning Text 16" xfId="1450" xr:uid="{00000000-0005-0000-0000-0000B1050000}"/>
    <cellStyle name="Warning Text 2" xfId="1451" xr:uid="{00000000-0005-0000-0000-0000B2050000}"/>
    <cellStyle name="Warning Text 3" xfId="1452" xr:uid="{00000000-0005-0000-0000-0000B3050000}"/>
    <cellStyle name="Warning Text 4" xfId="1453" xr:uid="{00000000-0005-0000-0000-0000B4050000}"/>
    <cellStyle name="Warning Text 5" xfId="1454" xr:uid="{00000000-0005-0000-0000-0000B5050000}"/>
    <cellStyle name="Warning Text 6" xfId="1455" xr:uid="{00000000-0005-0000-0000-0000B6050000}"/>
    <cellStyle name="Warning Text 7" xfId="1456" xr:uid="{00000000-0005-0000-0000-0000B7050000}"/>
    <cellStyle name="Warning Text 8" xfId="1457" xr:uid="{00000000-0005-0000-0000-0000B8050000}"/>
    <cellStyle name="Warning Text 9" xfId="1458" xr:uid="{00000000-0005-0000-0000-0000B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vm.gov.lv/Documents%20and%20Settings/SilvijaJ/Local%20Settings/Temporary%20Internet%20Files/Content.IE5/F51GHD5U/KristineS/My%20Documents/Bud&#382;ets%202012/Budzeta%20forma%2014_05%2001%2020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Y181"/>
  <sheetViews>
    <sheetView view="pageBreakPreview" zoomScale="70" zoomScaleNormal="10" zoomScaleSheetLayoutView="70" zoomScalePageLayoutView="55" workbookViewId="0">
      <pane ySplit="1" topLeftCell="A57" activePane="bottomLeft" state="frozen"/>
      <selection pane="bottomLeft" activeCell="S5" sqref="S5:S9"/>
    </sheetView>
  </sheetViews>
  <sheetFormatPr defaultColWidth="9.140625" defaultRowHeight="18.75" outlineLevelCol="1" x14ac:dyDescent="0.2"/>
  <cols>
    <col min="1" max="1" width="7.85546875" style="1" bestFit="1" customWidth="1"/>
    <col min="2" max="2" width="93.85546875" style="1" customWidth="1"/>
    <col min="3" max="3" width="19.85546875" style="1" customWidth="1"/>
    <col min="4" max="4" width="19.140625" style="362" customWidth="1"/>
    <col min="5" max="5" width="19.42578125" style="5" hidden="1" customWidth="1"/>
    <col min="6" max="6" width="19.85546875" style="5" hidden="1" customWidth="1" outlineLevel="1"/>
    <col min="7" max="8" width="31.42578125" style="5" hidden="1" customWidth="1" outlineLevel="1"/>
    <col min="9" max="9" width="31.42578125" style="308" hidden="1" customWidth="1" outlineLevel="1"/>
    <col min="10" max="10" width="0.42578125" style="362" hidden="1" customWidth="1" collapsed="1"/>
    <col min="11" max="11" width="19.85546875" style="334" hidden="1" customWidth="1" outlineLevel="1"/>
    <col min="12" max="12" width="20.7109375" style="5" hidden="1" customWidth="1" outlineLevel="1"/>
    <col min="13" max="13" width="19.7109375" style="5" hidden="1" customWidth="1" outlineLevel="1"/>
    <col min="14" max="14" width="91.85546875" style="5" hidden="1" customWidth="1" outlineLevel="1"/>
    <col min="15" max="15" width="19.85546875" style="362" customWidth="1" collapsed="1"/>
    <col min="16" max="16" width="19.85546875" style="5" customWidth="1" outlineLevel="1"/>
    <col min="17" max="18" width="24.42578125" style="5" customWidth="1" outlineLevel="1"/>
    <col min="19" max="19" width="78.140625" style="5" customWidth="1" outlineLevel="1"/>
    <col min="20" max="20" width="19.85546875" style="5" customWidth="1"/>
    <col min="21" max="21" width="19.85546875" style="5" hidden="1" customWidth="1" outlineLevel="1"/>
    <col min="22" max="23" width="24.42578125" style="5" hidden="1" customWidth="1" outlineLevel="1"/>
    <col min="24" max="24" width="78.140625" style="5" hidden="1" customWidth="1" outlineLevel="1"/>
    <col min="25" max="25" width="9.140625" style="1" collapsed="1"/>
    <col min="26" max="16384" width="9.140625" style="1"/>
  </cols>
  <sheetData>
    <row r="1" spans="1:24" ht="286.5" customHeight="1" x14ac:dyDescent="0.2">
      <c r="A1" s="35" t="s">
        <v>0</v>
      </c>
      <c r="B1" s="16" t="s">
        <v>326</v>
      </c>
      <c r="C1" s="16" t="s">
        <v>368</v>
      </c>
      <c r="D1" s="343" t="s">
        <v>369</v>
      </c>
      <c r="E1" s="16" t="s">
        <v>370</v>
      </c>
      <c r="F1" s="16" t="s">
        <v>374</v>
      </c>
      <c r="G1" s="17" t="s">
        <v>266</v>
      </c>
      <c r="H1" s="18" t="s">
        <v>267</v>
      </c>
      <c r="I1" s="292" t="s">
        <v>388</v>
      </c>
      <c r="J1" s="343" t="s">
        <v>371</v>
      </c>
      <c r="K1" s="281" t="s">
        <v>391</v>
      </c>
      <c r="L1" s="17" t="s">
        <v>392</v>
      </c>
      <c r="M1" s="18" t="s">
        <v>393</v>
      </c>
      <c r="N1" s="16" t="s">
        <v>298</v>
      </c>
      <c r="O1" s="343" t="s">
        <v>372</v>
      </c>
      <c r="P1" s="16" t="s">
        <v>408</v>
      </c>
      <c r="Q1" s="17" t="s">
        <v>266</v>
      </c>
      <c r="R1" s="18" t="s">
        <v>267</v>
      </c>
      <c r="S1" s="16" t="s">
        <v>298</v>
      </c>
      <c r="T1" s="16" t="s">
        <v>373</v>
      </c>
      <c r="U1" s="16" t="s">
        <v>288</v>
      </c>
      <c r="V1" s="17" t="s">
        <v>266</v>
      </c>
      <c r="W1" s="18" t="s">
        <v>267</v>
      </c>
      <c r="X1" s="16" t="s">
        <v>298</v>
      </c>
    </row>
    <row r="2" spans="1:24" ht="12" customHeight="1" x14ac:dyDescent="0.2">
      <c r="A2" s="35">
        <v>1</v>
      </c>
      <c r="B2" s="16">
        <v>2</v>
      </c>
      <c r="C2" s="16">
        <v>3</v>
      </c>
      <c r="D2" s="343">
        <v>4</v>
      </c>
      <c r="E2" s="16">
        <v>5</v>
      </c>
      <c r="F2" s="16">
        <v>6</v>
      </c>
      <c r="G2" s="17">
        <v>7</v>
      </c>
      <c r="H2" s="19">
        <v>8</v>
      </c>
      <c r="I2" s="292">
        <v>9</v>
      </c>
      <c r="J2" s="343">
        <v>10</v>
      </c>
      <c r="K2" s="281">
        <v>11</v>
      </c>
      <c r="L2" s="17">
        <v>12</v>
      </c>
      <c r="M2" s="19">
        <v>13</v>
      </c>
      <c r="N2" s="16">
        <v>14</v>
      </c>
      <c r="O2" s="343">
        <v>15</v>
      </c>
      <c r="P2" s="16">
        <v>16</v>
      </c>
      <c r="Q2" s="17">
        <v>17</v>
      </c>
      <c r="R2" s="19">
        <v>18</v>
      </c>
      <c r="S2" s="16">
        <v>19</v>
      </c>
      <c r="T2" s="16">
        <v>20</v>
      </c>
      <c r="U2" s="16">
        <v>21</v>
      </c>
      <c r="V2" s="17">
        <v>22</v>
      </c>
      <c r="W2" s="19">
        <v>23</v>
      </c>
      <c r="X2" s="16">
        <v>24</v>
      </c>
    </row>
    <row r="3" spans="1:24" ht="17.100000000000001" customHeight="1" x14ac:dyDescent="0.2">
      <c r="A3" s="230" t="s">
        <v>1</v>
      </c>
      <c r="B3" s="231" t="s">
        <v>2</v>
      </c>
      <c r="C3" s="232">
        <f>C4+C19+C22+C27+C28+C29+C30+C31</f>
        <v>12256127</v>
      </c>
      <c r="D3" s="344">
        <f>D4+D19+D22+D27+D28+D29+D30+D31</f>
        <v>12301909</v>
      </c>
      <c r="E3" s="232">
        <f>E4+E19+E22+E27+E28+E29+E30+E31</f>
        <v>2854457</v>
      </c>
      <c r="F3" s="232">
        <f>F4+F19+F22+F27+F28+F29+F30+F31</f>
        <v>2736969</v>
      </c>
      <c r="G3" s="233">
        <f>F3-E3</f>
        <v>-117488</v>
      </c>
      <c r="H3" s="234">
        <f>IFERROR(G3/ABS(E3), "-")</f>
        <v>-4.1159491980436211E-2</v>
      </c>
      <c r="I3" s="293"/>
      <c r="J3" s="344">
        <f>J4+J19+J22+J27+J28+J29+J30+J31</f>
        <v>5953914</v>
      </c>
      <c r="K3" s="321">
        <f>K4+K19+K22+K27+K28+K29+K30+K31</f>
        <v>5879455</v>
      </c>
      <c r="L3" s="233">
        <f>K3-J3</f>
        <v>-74459</v>
      </c>
      <c r="M3" s="234">
        <f>IFERROR(L3/ABS(J3), "-")</f>
        <v>-1.2505891082739858E-2</v>
      </c>
      <c r="N3" s="235"/>
      <c r="O3" s="344">
        <f>O4+O19+O22+O27+O28+O29+O30+O31</f>
        <v>9124735</v>
      </c>
      <c r="P3" s="232">
        <f>P4+P19+P22+P27+P28+P29+P30+P31</f>
        <v>9127473</v>
      </c>
      <c r="Q3" s="233">
        <f>P3-O3</f>
        <v>2738</v>
      </c>
      <c r="R3" s="234">
        <f>IFERROR(Q3/ABS(O3), "-")</f>
        <v>3.0006350869367712E-4</v>
      </c>
      <c r="S3" s="235"/>
      <c r="T3" s="232">
        <f>T4+T19+T22+T27+T28+T29+T30+T31</f>
        <v>12301909</v>
      </c>
      <c r="U3" s="232">
        <f>U4+U19+U22+U27+U28+U29+U30+U31</f>
        <v>0</v>
      </c>
      <c r="V3" s="233">
        <f>U3-T3</f>
        <v>-12301909</v>
      </c>
      <c r="W3" s="234">
        <f>IFERROR(V3/ABS(T3), "-")</f>
        <v>-1</v>
      </c>
      <c r="X3" s="235"/>
    </row>
    <row r="4" spans="1:24" s="2" customFormat="1" ht="17.100000000000001" customHeight="1" x14ac:dyDescent="0.2">
      <c r="A4" s="223" t="s">
        <v>94</v>
      </c>
      <c r="B4" s="212" t="s">
        <v>3</v>
      </c>
      <c r="C4" s="203">
        <f>C5+C10+C13+C16</f>
        <v>11507750</v>
      </c>
      <c r="D4" s="345">
        <f>D5+D10+D13+D16</f>
        <v>12002416</v>
      </c>
      <c r="E4" s="203">
        <f>E5+E10+E13+E16</f>
        <v>2777839</v>
      </c>
      <c r="F4" s="203">
        <f>F5+F10+F13+F16</f>
        <v>2659299</v>
      </c>
      <c r="G4" s="204">
        <f t="shared" ref="G4:G66" si="0">F4-E4</f>
        <v>-118540</v>
      </c>
      <c r="H4" s="205">
        <f t="shared" ref="H4:H66" si="1">IFERROR(G4/ABS(E4), "-")</f>
        <v>-4.2673459476953127E-2</v>
      </c>
      <c r="I4" s="294"/>
      <c r="J4" s="345">
        <f>J5+J10+J13+J16</f>
        <v>5804471</v>
      </c>
      <c r="K4" s="322">
        <f>K5+K10+K13+K16</f>
        <v>5721945</v>
      </c>
      <c r="L4" s="204">
        <f t="shared" ref="L4:L69" si="2">K4-J4</f>
        <v>-82526</v>
      </c>
      <c r="M4" s="205">
        <f t="shared" ref="M4:M69" si="3">IFERROR(L4/ABS(J4), "-")</f>
        <v>-1.4217660834208664E-2</v>
      </c>
      <c r="N4" s="206"/>
      <c r="O4" s="345">
        <f>O5+O10+O13+O16</f>
        <v>8900567</v>
      </c>
      <c r="P4" s="203">
        <f>P5+P10+P13+P16</f>
        <v>8864336</v>
      </c>
      <c r="Q4" s="204">
        <f t="shared" ref="Q4:Q69" si="4">P4-O4</f>
        <v>-36231</v>
      </c>
      <c r="R4" s="205">
        <f t="shared" ref="R4:R69" si="5">IFERROR(Q4/ABS(O4), "-")</f>
        <v>-4.0706395446492337E-3</v>
      </c>
      <c r="S4" s="206"/>
      <c r="T4" s="203">
        <f>T5+T10+T13+T16</f>
        <v>12002416</v>
      </c>
      <c r="U4" s="203">
        <f>U5+U10+U13+U16</f>
        <v>0</v>
      </c>
      <c r="V4" s="204">
        <f t="shared" ref="V4:V69" si="6">U4-T4</f>
        <v>-12002416</v>
      </c>
      <c r="W4" s="205">
        <f t="shared" ref="W4:W69" si="7">IFERROR(V4/ABS(T4), "-")</f>
        <v>-1</v>
      </c>
      <c r="X4" s="206"/>
    </row>
    <row r="5" spans="1:24" s="2" customFormat="1" ht="17.100000000000001" customHeight="1" x14ac:dyDescent="0.2">
      <c r="A5" s="177" t="s">
        <v>95</v>
      </c>
      <c r="B5" s="178" t="s">
        <v>96</v>
      </c>
      <c r="C5" s="174">
        <f t="shared" ref="C5:F5" si="8">SUM(C6:C9)</f>
        <v>9620284</v>
      </c>
      <c r="D5" s="346">
        <f t="shared" si="8"/>
        <v>9908357</v>
      </c>
      <c r="E5" s="174">
        <f t="shared" si="8"/>
        <v>2291202</v>
      </c>
      <c r="F5" s="174">
        <f t="shared" si="8"/>
        <v>2183323</v>
      </c>
      <c r="G5" s="175">
        <f t="shared" si="0"/>
        <v>-107879</v>
      </c>
      <c r="H5" s="176">
        <f t="shared" si="1"/>
        <v>-4.7084019654312449E-2</v>
      </c>
      <c r="I5" s="424" t="s">
        <v>389</v>
      </c>
      <c r="J5" s="346">
        <f t="shared" ref="J5:K5" si="9">SUM(J6:J9)</f>
        <v>4768869</v>
      </c>
      <c r="K5" s="323">
        <f t="shared" si="9"/>
        <v>4709388</v>
      </c>
      <c r="L5" s="175">
        <f t="shared" si="2"/>
        <v>-59481</v>
      </c>
      <c r="M5" s="176">
        <f t="shared" si="3"/>
        <v>-1.2472768700503201E-2</v>
      </c>
      <c r="N5" s="417"/>
      <c r="O5" s="346">
        <f t="shared" ref="O5:P5" si="10">SUM(O6:O9)</f>
        <v>7338614</v>
      </c>
      <c r="P5" s="174">
        <f t="shared" si="10"/>
        <v>7348797</v>
      </c>
      <c r="Q5" s="175">
        <f t="shared" si="4"/>
        <v>10183</v>
      </c>
      <c r="R5" s="176">
        <f t="shared" si="5"/>
        <v>1.3875917169100323E-3</v>
      </c>
      <c r="S5" s="433" t="s">
        <v>415</v>
      </c>
      <c r="T5" s="174">
        <f t="shared" ref="T5:U5" si="11">SUM(T6:T9)</f>
        <v>9908357</v>
      </c>
      <c r="U5" s="174">
        <f t="shared" si="11"/>
        <v>0</v>
      </c>
      <c r="V5" s="175">
        <f t="shared" si="6"/>
        <v>-9908357</v>
      </c>
      <c r="W5" s="176">
        <f t="shared" si="7"/>
        <v>-1</v>
      </c>
      <c r="X5" s="417"/>
    </row>
    <row r="6" spans="1:24" ht="17.100000000000001" customHeight="1" x14ac:dyDescent="0.2">
      <c r="A6" s="209" t="s">
        <v>97</v>
      </c>
      <c r="B6" s="70" t="s">
        <v>315</v>
      </c>
      <c r="C6" s="135">
        <v>7972982</v>
      </c>
      <c r="D6" s="347">
        <v>8303915</v>
      </c>
      <c r="E6" s="135">
        <v>1899717</v>
      </c>
      <c r="F6" s="135">
        <f>984+1651805+145226</f>
        <v>1798015</v>
      </c>
      <c r="G6" s="136">
        <f t="shared" si="0"/>
        <v>-101702</v>
      </c>
      <c r="H6" s="137">
        <f t="shared" si="1"/>
        <v>-5.3535342369416074E-2</v>
      </c>
      <c r="I6" s="425"/>
      <c r="J6" s="347">
        <v>3966648</v>
      </c>
      <c r="K6" s="324">
        <f>3601526+2751+303339</f>
        <v>3907616</v>
      </c>
      <c r="L6" s="136">
        <f>K6-J6</f>
        <v>-59032</v>
      </c>
      <c r="M6" s="137">
        <f t="shared" si="3"/>
        <v>-1.4882086840072525E-2</v>
      </c>
      <c r="N6" s="418"/>
      <c r="O6" s="347">
        <v>6135282</v>
      </c>
      <c r="P6" s="135">
        <v>6127214</v>
      </c>
      <c r="Q6" s="136">
        <f t="shared" si="4"/>
        <v>-8068</v>
      </c>
      <c r="R6" s="137">
        <f t="shared" si="5"/>
        <v>-1.3150169788446562E-3</v>
      </c>
      <c r="S6" s="434"/>
      <c r="T6" s="135">
        <f>D6</f>
        <v>8303915</v>
      </c>
      <c r="U6" s="135"/>
      <c r="V6" s="136">
        <f t="shared" si="6"/>
        <v>-8303915</v>
      </c>
      <c r="W6" s="137">
        <f t="shared" si="7"/>
        <v>-1</v>
      </c>
      <c r="X6" s="418"/>
    </row>
    <row r="7" spans="1:24" ht="17.100000000000001" customHeight="1" x14ac:dyDescent="0.2">
      <c r="A7" s="209" t="s">
        <v>98</v>
      </c>
      <c r="B7" s="70" t="s">
        <v>314</v>
      </c>
      <c r="C7" s="135">
        <v>685878</v>
      </c>
      <c r="D7" s="347">
        <f>782693-92693</f>
        <v>690000</v>
      </c>
      <c r="E7" s="135">
        <f t="shared" ref="E7:E12" si="12">ROUND(D7/4,0)</f>
        <v>172500</v>
      </c>
      <c r="F7" s="135">
        <f>152351+8197</f>
        <v>160548</v>
      </c>
      <c r="G7" s="136">
        <f t="shared" si="0"/>
        <v>-11952</v>
      </c>
      <c r="H7" s="137">
        <f t="shared" si="1"/>
        <v>-6.9286956521739135E-2</v>
      </c>
      <c r="I7" s="425"/>
      <c r="J7" s="347">
        <f t="shared" ref="J7:J12" si="13">ROUND(D7/2,0)</f>
        <v>345000</v>
      </c>
      <c r="K7" s="324">
        <f>316316+18804</f>
        <v>335120</v>
      </c>
      <c r="L7" s="136">
        <f t="shared" si="2"/>
        <v>-9880</v>
      </c>
      <c r="M7" s="137">
        <f t="shared" si="3"/>
        <v>-2.8637681159420291E-2</v>
      </c>
      <c r="N7" s="418"/>
      <c r="O7" s="347">
        <f t="shared" ref="O7:O14" si="14">ROUND(D7/4*3,0)</f>
        <v>517500</v>
      </c>
      <c r="P7" s="135">
        <v>508217</v>
      </c>
      <c r="Q7" s="136">
        <f t="shared" si="4"/>
        <v>-9283</v>
      </c>
      <c r="R7" s="137">
        <f t="shared" si="5"/>
        <v>-1.7938164251207731E-2</v>
      </c>
      <c r="S7" s="434"/>
      <c r="T7" s="135">
        <f t="shared" ref="T7:T9" si="15">D7</f>
        <v>690000</v>
      </c>
      <c r="U7" s="135"/>
      <c r="V7" s="136">
        <f t="shared" si="6"/>
        <v>-690000</v>
      </c>
      <c r="W7" s="137">
        <f t="shared" si="7"/>
        <v>-1</v>
      </c>
      <c r="X7" s="418"/>
    </row>
    <row r="8" spans="1:24" ht="17.100000000000001" customHeight="1" x14ac:dyDescent="0.2">
      <c r="A8" s="209" t="s">
        <v>99</v>
      </c>
      <c r="B8" s="70" t="s">
        <v>313</v>
      </c>
      <c r="C8" s="135">
        <v>899733</v>
      </c>
      <c r="D8" s="347">
        <v>853442</v>
      </c>
      <c r="E8" s="135">
        <v>203735</v>
      </c>
      <c r="F8" s="135">
        <f>206117+439</f>
        <v>206556</v>
      </c>
      <c r="G8" s="136">
        <f t="shared" si="0"/>
        <v>2821</v>
      </c>
      <c r="H8" s="137">
        <f t="shared" si="1"/>
        <v>1.384641814121285E-2</v>
      </c>
      <c r="I8" s="425"/>
      <c r="J8" s="347">
        <f t="shared" si="13"/>
        <v>426721</v>
      </c>
      <c r="K8" s="324">
        <f>429928+884</f>
        <v>430812</v>
      </c>
      <c r="L8" s="136">
        <f t="shared" si="2"/>
        <v>4091</v>
      </c>
      <c r="M8" s="137">
        <f t="shared" si="3"/>
        <v>9.5870603977774704E-3</v>
      </c>
      <c r="N8" s="418"/>
      <c r="O8" s="347">
        <f t="shared" si="14"/>
        <v>640082</v>
      </c>
      <c r="P8" s="135">
        <v>659065</v>
      </c>
      <c r="Q8" s="136">
        <f t="shared" si="4"/>
        <v>18983</v>
      </c>
      <c r="R8" s="137">
        <f t="shared" si="5"/>
        <v>2.9657137679234849E-2</v>
      </c>
      <c r="S8" s="434"/>
      <c r="T8" s="135">
        <f t="shared" si="15"/>
        <v>853442</v>
      </c>
      <c r="U8" s="135"/>
      <c r="V8" s="136">
        <f t="shared" si="6"/>
        <v>-853442</v>
      </c>
      <c r="W8" s="137">
        <f t="shared" si="7"/>
        <v>-1</v>
      </c>
      <c r="X8" s="418"/>
    </row>
    <row r="9" spans="1:24" ht="17.100000000000001" customHeight="1" x14ac:dyDescent="0.2">
      <c r="A9" s="209" t="s">
        <v>100</v>
      </c>
      <c r="B9" s="70" t="s">
        <v>312</v>
      </c>
      <c r="C9" s="135">
        <v>61691</v>
      </c>
      <c r="D9" s="347">
        <v>61000</v>
      </c>
      <c r="E9" s="135">
        <f t="shared" si="12"/>
        <v>15250</v>
      </c>
      <c r="F9" s="135">
        <v>18204</v>
      </c>
      <c r="G9" s="136">
        <f t="shared" si="0"/>
        <v>2954</v>
      </c>
      <c r="H9" s="137">
        <f t="shared" si="1"/>
        <v>0.19370491803278689</v>
      </c>
      <c r="I9" s="426"/>
      <c r="J9" s="347">
        <f t="shared" si="13"/>
        <v>30500</v>
      </c>
      <c r="K9" s="324">
        <v>35840</v>
      </c>
      <c r="L9" s="136">
        <f t="shared" si="2"/>
        <v>5340</v>
      </c>
      <c r="M9" s="137">
        <f t="shared" si="3"/>
        <v>0.17508196721311475</v>
      </c>
      <c r="N9" s="419"/>
      <c r="O9" s="347">
        <f t="shared" si="14"/>
        <v>45750</v>
      </c>
      <c r="P9" s="135">
        <v>54301</v>
      </c>
      <c r="Q9" s="136">
        <f t="shared" si="4"/>
        <v>8551</v>
      </c>
      <c r="R9" s="137">
        <f t="shared" si="5"/>
        <v>0.18690710382513662</v>
      </c>
      <c r="S9" s="435"/>
      <c r="T9" s="135">
        <f t="shared" si="15"/>
        <v>61000</v>
      </c>
      <c r="U9" s="135"/>
      <c r="V9" s="136">
        <f t="shared" si="6"/>
        <v>-61000</v>
      </c>
      <c r="W9" s="137">
        <f t="shared" si="7"/>
        <v>-1</v>
      </c>
      <c r="X9" s="419"/>
    </row>
    <row r="10" spans="1:24" ht="17.100000000000001" customHeight="1" x14ac:dyDescent="0.2">
      <c r="A10" s="177" t="s">
        <v>101</v>
      </c>
      <c r="B10" s="178" t="s">
        <v>102</v>
      </c>
      <c r="C10" s="174">
        <f t="shared" ref="C10:F10" si="16">SUM(C11:C12)</f>
        <v>1427809</v>
      </c>
      <c r="D10" s="346">
        <f t="shared" si="16"/>
        <v>1686029</v>
      </c>
      <c r="E10" s="174">
        <f t="shared" si="16"/>
        <v>392503</v>
      </c>
      <c r="F10" s="174">
        <f t="shared" si="16"/>
        <v>378361</v>
      </c>
      <c r="G10" s="175">
        <f t="shared" si="0"/>
        <v>-14142</v>
      </c>
      <c r="H10" s="176">
        <f t="shared" si="1"/>
        <v>-3.603029785759599E-2</v>
      </c>
      <c r="I10" s="424"/>
      <c r="J10" s="346">
        <f t="shared" ref="J10:K10" si="17">SUM(J11:J12)</f>
        <v>834515</v>
      </c>
      <c r="K10" s="323">
        <f t="shared" si="17"/>
        <v>829890</v>
      </c>
      <c r="L10" s="175">
        <f t="shared" si="2"/>
        <v>-4625</v>
      </c>
      <c r="M10" s="176">
        <f t="shared" si="3"/>
        <v>-5.5421412437164103E-3</v>
      </c>
      <c r="N10" s="417"/>
      <c r="O10" s="346">
        <f t="shared" ref="O10" si="18">SUM(O11:O12)</f>
        <v>1255930</v>
      </c>
      <c r="P10" s="174">
        <f>SUM(P11:P12)</f>
        <v>1249870</v>
      </c>
      <c r="Q10" s="175">
        <f t="shared" si="4"/>
        <v>-6060</v>
      </c>
      <c r="R10" s="176">
        <f t="shared" si="5"/>
        <v>-4.8251096796796001E-3</v>
      </c>
      <c r="S10" s="417"/>
      <c r="T10" s="174">
        <f t="shared" ref="T10:U10" si="19">SUM(T11:T12)</f>
        <v>1686029</v>
      </c>
      <c r="U10" s="174">
        <f t="shared" si="19"/>
        <v>0</v>
      </c>
      <c r="V10" s="175">
        <f t="shared" si="6"/>
        <v>-1686029</v>
      </c>
      <c r="W10" s="176">
        <f t="shared" si="7"/>
        <v>-1</v>
      </c>
      <c r="X10" s="417"/>
    </row>
    <row r="11" spans="1:24" ht="17.100000000000001" customHeight="1" x14ac:dyDescent="0.2">
      <c r="A11" s="209" t="s">
        <v>103</v>
      </c>
      <c r="B11" s="70" t="s">
        <v>104</v>
      </c>
      <c r="C11" s="135">
        <v>1245688</v>
      </c>
      <c r="D11" s="347">
        <f>ROUND(98*40.57*365,0)</f>
        <v>1451189</v>
      </c>
      <c r="E11" s="135">
        <v>333793</v>
      </c>
      <c r="F11" s="135">
        <v>319452</v>
      </c>
      <c r="G11" s="136">
        <f t="shared" si="0"/>
        <v>-14341</v>
      </c>
      <c r="H11" s="137">
        <f t="shared" si="1"/>
        <v>-4.2963752984634188E-2</v>
      </c>
      <c r="I11" s="425"/>
      <c r="J11" s="347">
        <v>717095</v>
      </c>
      <c r="K11" s="324">
        <f>569839+145826</f>
        <v>715665</v>
      </c>
      <c r="L11" s="136">
        <f t="shared" si="2"/>
        <v>-1430</v>
      </c>
      <c r="M11" s="137">
        <f t="shared" si="3"/>
        <v>-1.9941569805953185E-3</v>
      </c>
      <c r="N11" s="418"/>
      <c r="O11" s="347">
        <v>1079800</v>
      </c>
      <c r="P11" s="135">
        <v>1081234</v>
      </c>
      <c r="Q11" s="136">
        <f t="shared" si="4"/>
        <v>1434</v>
      </c>
      <c r="R11" s="137">
        <f t="shared" si="5"/>
        <v>1.3280237080940914E-3</v>
      </c>
      <c r="S11" s="418"/>
      <c r="T11" s="135">
        <f>D11</f>
        <v>1451189</v>
      </c>
      <c r="U11" s="135"/>
      <c r="V11" s="136">
        <f t="shared" si="6"/>
        <v>-1451189</v>
      </c>
      <c r="W11" s="137">
        <f t="shared" si="7"/>
        <v>-1</v>
      </c>
      <c r="X11" s="418"/>
    </row>
    <row r="12" spans="1:24" ht="17.100000000000001" customHeight="1" x14ac:dyDescent="0.2">
      <c r="A12" s="209" t="s">
        <v>105</v>
      </c>
      <c r="B12" s="70" t="s">
        <v>106</v>
      </c>
      <c r="C12" s="135">
        <v>182121</v>
      </c>
      <c r="D12" s="347">
        <v>234840</v>
      </c>
      <c r="E12" s="135">
        <f t="shared" si="12"/>
        <v>58710</v>
      </c>
      <c r="F12" s="135">
        <v>58909</v>
      </c>
      <c r="G12" s="136">
        <f t="shared" si="0"/>
        <v>199</v>
      </c>
      <c r="H12" s="137">
        <f t="shared" si="1"/>
        <v>3.3895418157043095E-3</v>
      </c>
      <c r="I12" s="426"/>
      <c r="J12" s="347">
        <f t="shared" si="13"/>
        <v>117420</v>
      </c>
      <c r="K12" s="324">
        <f>114225</f>
        <v>114225</v>
      </c>
      <c r="L12" s="136">
        <f t="shared" si="2"/>
        <v>-3195</v>
      </c>
      <c r="M12" s="137">
        <f t="shared" si="3"/>
        <v>-2.7210015329586102E-2</v>
      </c>
      <c r="N12" s="419"/>
      <c r="O12" s="347">
        <f t="shared" si="14"/>
        <v>176130</v>
      </c>
      <c r="P12" s="135">
        <v>168636</v>
      </c>
      <c r="Q12" s="136">
        <f t="shared" si="4"/>
        <v>-7494</v>
      </c>
      <c r="R12" s="137">
        <f t="shared" si="5"/>
        <v>-4.2548117867484248E-2</v>
      </c>
      <c r="S12" s="419"/>
      <c r="T12" s="135">
        <f>D12</f>
        <v>234840</v>
      </c>
      <c r="U12" s="135"/>
      <c r="V12" s="136">
        <f t="shared" si="6"/>
        <v>-234840</v>
      </c>
      <c r="W12" s="137">
        <f t="shared" si="7"/>
        <v>-1</v>
      </c>
      <c r="X12" s="419"/>
    </row>
    <row r="13" spans="1:24" ht="17.100000000000001" customHeight="1" x14ac:dyDescent="0.2">
      <c r="A13" s="177" t="s">
        <v>107</v>
      </c>
      <c r="B13" s="178" t="s">
        <v>307</v>
      </c>
      <c r="C13" s="174">
        <f t="shared" ref="C13:F13" si="20">SUM(C14:C15)</f>
        <v>459657</v>
      </c>
      <c r="D13" s="346">
        <f t="shared" si="20"/>
        <v>408030</v>
      </c>
      <c r="E13" s="174">
        <f t="shared" si="20"/>
        <v>94134</v>
      </c>
      <c r="F13" s="174">
        <f t="shared" si="20"/>
        <v>97615</v>
      </c>
      <c r="G13" s="175">
        <f t="shared" si="0"/>
        <v>3481</v>
      </c>
      <c r="H13" s="176">
        <f t="shared" si="1"/>
        <v>3.6979199864023628E-2</v>
      </c>
      <c r="I13" s="424"/>
      <c r="J13" s="346">
        <f t="shared" ref="J13:K13" si="21">SUM(J14:J15)</f>
        <v>201087</v>
      </c>
      <c r="K13" s="323">
        <f t="shared" si="21"/>
        <v>182667</v>
      </c>
      <c r="L13" s="175">
        <f t="shared" si="2"/>
        <v>-18420</v>
      </c>
      <c r="M13" s="176">
        <f t="shared" si="3"/>
        <v>-9.1602142356293548E-2</v>
      </c>
      <c r="N13" s="417"/>
      <c r="O13" s="346">
        <f t="shared" ref="O13:P13" si="22">SUM(O14:O15)</f>
        <v>306023</v>
      </c>
      <c r="P13" s="174">
        <f t="shared" si="22"/>
        <v>265669</v>
      </c>
      <c r="Q13" s="175">
        <f t="shared" si="4"/>
        <v>-40354</v>
      </c>
      <c r="R13" s="176">
        <f t="shared" si="5"/>
        <v>-0.13186590550383467</v>
      </c>
      <c r="S13" s="417"/>
      <c r="T13" s="174">
        <f t="shared" ref="T13:U13" si="23">SUM(T14:T15)</f>
        <v>408030</v>
      </c>
      <c r="U13" s="174">
        <f t="shared" si="23"/>
        <v>0</v>
      </c>
      <c r="V13" s="175">
        <f t="shared" si="6"/>
        <v>-408030</v>
      </c>
      <c r="W13" s="176">
        <f t="shared" si="7"/>
        <v>-1</v>
      </c>
      <c r="X13" s="417"/>
    </row>
    <row r="14" spans="1:24" ht="17.100000000000001" customHeight="1" x14ac:dyDescent="0.2">
      <c r="A14" s="209" t="s">
        <v>109</v>
      </c>
      <c r="B14" s="70" t="s">
        <v>110</v>
      </c>
      <c r="C14" s="135">
        <v>459657</v>
      </c>
      <c r="D14" s="347">
        <v>408030</v>
      </c>
      <c r="E14" s="135">
        <v>94134</v>
      </c>
      <c r="F14" s="135">
        <v>97615</v>
      </c>
      <c r="G14" s="136">
        <f t="shared" si="0"/>
        <v>3481</v>
      </c>
      <c r="H14" s="137">
        <f t="shared" si="1"/>
        <v>3.6979199864023628E-2</v>
      </c>
      <c r="I14" s="425"/>
      <c r="J14" s="347">
        <v>201087</v>
      </c>
      <c r="K14" s="324">
        <v>182667</v>
      </c>
      <c r="L14" s="136">
        <f t="shared" si="2"/>
        <v>-18420</v>
      </c>
      <c r="M14" s="137">
        <f t="shared" si="3"/>
        <v>-9.1602142356293548E-2</v>
      </c>
      <c r="N14" s="418"/>
      <c r="O14" s="347">
        <f t="shared" si="14"/>
        <v>306023</v>
      </c>
      <c r="P14" s="135">
        <v>265669</v>
      </c>
      <c r="Q14" s="136">
        <f t="shared" si="4"/>
        <v>-40354</v>
      </c>
      <c r="R14" s="137">
        <f t="shared" si="5"/>
        <v>-0.13186590550383467</v>
      </c>
      <c r="S14" s="418"/>
      <c r="T14" s="135">
        <f>D14</f>
        <v>408030</v>
      </c>
      <c r="U14" s="135"/>
      <c r="V14" s="136">
        <f t="shared" si="6"/>
        <v>-408030</v>
      </c>
      <c r="W14" s="137">
        <f t="shared" si="7"/>
        <v>-1</v>
      </c>
      <c r="X14" s="418"/>
    </row>
    <row r="15" spans="1:24" ht="17.100000000000001" customHeight="1" x14ac:dyDescent="0.2">
      <c r="A15" s="209" t="s">
        <v>111</v>
      </c>
      <c r="B15" s="70" t="s">
        <v>308</v>
      </c>
      <c r="C15" s="135"/>
      <c r="D15" s="347"/>
      <c r="E15" s="135"/>
      <c r="F15" s="135"/>
      <c r="G15" s="136">
        <f t="shared" si="0"/>
        <v>0</v>
      </c>
      <c r="H15" s="137" t="str">
        <f t="shared" si="1"/>
        <v>-</v>
      </c>
      <c r="I15" s="426"/>
      <c r="J15" s="347"/>
      <c r="K15" s="324"/>
      <c r="L15" s="136">
        <f t="shared" si="2"/>
        <v>0</v>
      </c>
      <c r="M15" s="137" t="str">
        <f t="shared" si="3"/>
        <v>-</v>
      </c>
      <c r="N15" s="419"/>
      <c r="O15" s="347"/>
      <c r="P15" s="135"/>
      <c r="Q15" s="136">
        <f t="shared" si="4"/>
        <v>0</v>
      </c>
      <c r="R15" s="137" t="str">
        <f t="shared" si="5"/>
        <v>-</v>
      </c>
      <c r="S15" s="419"/>
      <c r="T15" s="135"/>
      <c r="U15" s="135"/>
      <c r="V15" s="136">
        <f t="shared" si="6"/>
        <v>0</v>
      </c>
      <c r="W15" s="137" t="str">
        <f t="shared" si="7"/>
        <v>-</v>
      </c>
      <c r="X15" s="419"/>
    </row>
    <row r="16" spans="1:24" ht="17.100000000000001" customHeight="1" x14ac:dyDescent="0.2">
      <c r="A16" s="177" t="s">
        <v>112</v>
      </c>
      <c r="B16" s="178" t="s">
        <v>84</v>
      </c>
      <c r="C16" s="174">
        <f>SUM(C17:C18)</f>
        <v>0</v>
      </c>
      <c r="D16" s="346">
        <f>SUM(D17:D18)</f>
        <v>0</v>
      </c>
      <c r="E16" s="174">
        <f>SUM(E17:E18)</f>
        <v>0</v>
      </c>
      <c r="F16" s="174">
        <f>SUM(F17:F18)</f>
        <v>0</v>
      </c>
      <c r="G16" s="175">
        <f t="shared" si="0"/>
        <v>0</v>
      </c>
      <c r="H16" s="176" t="str">
        <f t="shared" si="1"/>
        <v>-</v>
      </c>
      <c r="I16" s="424"/>
      <c r="J16" s="346">
        <f>SUM(J17:J18)</f>
        <v>0</v>
      </c>
      <c r="K16" s="323">
        <f>SUM(K17:K18)</f>
        <v>0</v>
      </c>
      <c r="L16" s="175">
        <f t="shared" si="2"/>
        <v>0</v>
      </c>
      <c r="M16" s="176" t="str">
        <f t="shared" si="3"/>
        <v>-</v>
      </c>
      <c r="N16" s="417"/>
      <c r="O16" s="346">
        <f>SUM(O17:O18)</f>
        <v>0</v>
      </c>
      <c r="P16" s="174">
        <f>SUM(P17:P18)</f>
        <v>0</v>
      </c>
      <c r="Q16" s="175">
        <f t="shared" si="4"/>
        <v>0</v>
      </c>
      <c r="R16" s="176" t="str">
        <f t="shared" si="5"/>
        <v>-</v>
      </c>
      <c r="S16" s="417"/>
      <c r="T16" s="174">
        <f>SUM(T17:T18)</f>
        <v>0</v>
      </c>
      <c r="U16" s="174">
        <f>SUM(U17:U18)</f>
        <v>0</v>
      </c>
      <c r="V16" s="175">
        <f t="shared" si="6"/>
        <v>0</v>
      </c>
      <c r="W16" s="176" t="str">
        <f t="shared" si="7"/>
        <v>-</v>
      </c>
      <c r="X16" s="417"/>
    </row>
    <row r="17" spans="1:24" ht="17.100000000000001" customHeight="1" x14ac:dyDescent="0.2">
      <c r="A17" s="209" t="s">
        <v>113</v>
      </c>
      <c r="B17" s="138" t="s">
        <v>316</v>
      </c>
      <c r="C17" s="139"/>
      <c r="D17" s="347"/>
      <c r="E17" s="135"/>
      <c r="F17" s="135"/>
      <c r="G17" s="136">
        <f t="shared" si="0"/>
        <v>0</v>
      </c>
      <c r="H17" s="137" t="str">
        <f t="shared" si="1"/>
        <v>-</v>
      </c>
      <c r="I17" s="425"/>
      <c r="J17" s="347"/>
      <c r="K17" s="324"/>
      <c r="L17" s="136">
        <f t="shared" si="2"/>
        <v>0</v>
      </c>
      <c r="M17" s="137" t="str">
        <f t="shared" si="3"/>
        <v>-</v>
      </c>
      <c r="N17" s="418"/>
      <c r="O17" s="347"/>
      <c r="P17" s="135"/>
      <c r="Q17" s="136">
        <f t="shared" si="4"/>
        <v>0</v>
      </c>
      <c r="R17" s="137" t="str">
        <f t="shared" si="5"/>
        <v>-</v>
      </c>
      <c r="S17" s="418"/>
      <c r="T17" s="135"/>
      <c r="U17" s="135"/>
      <c r="V17" s="136">
        <f t="shared" si="6"/>
        <v>0</v>
      </c>
      <c r="W17" s="137" t="str">
        <f t="shared" si="7"/>
        <v>-</v>
      </c>
      <c r="X17" s="418"/>
    </row>
    <row r="18" spans="1:24" ht="17.100000000000001" customHeight="1" x14ac:dyDescent="0.2">
      <c r="A18" s="209" t="s">
        <v>114</v>
      </c>
      <c r="B18" s="70" t="s">
        <v>317</v>
      </c>
      <c r="C18" s="135"/>
      <c r="D18" s="347"/>
      <c r="E18" s="135"/>
      <c r="F18" s="135"/>
      <c r="G18" s="136">
        <f t="shared" si="0"/>
        <v>0</v>
      </c>
      <c r="H18" s="137" t="str">
        <f t="shared" si="1"/>
        <v>-</v>
      </c>
      <c r="I18" s="425"/>
      <c r="J18" s="347"/>
      <c r="K18" s="324"/>
      <c r="L18" s="136">
        <f t="shared" si="2"/>
        <v>0</v>
      </c>
      <c r="M18" s="137" t="str">
        <f t="shared" si="3"/>
        <v>-</v>
      </c>
      <c r="N18" s="418"/>
      <c r="O18" s="347"/>
      <c r="P18" s="135"/>
      <c r="Q18" s="136">
        <f t="shared" si="4"/>
        <v>0</v>
      </c>
      <c r="R18" s="137" t="str">
        <f t="shared" si="5"/>
        <v>-</v>
      </c>
      <c r="S18" s="418"/>
      <c r="T18" s="135"/>
      <c r="U18" s="135"/>
      <c r="V18" s="136">
        <f t="shared" si="6"/>
        <v>0</v>
      </c>
      <c r="W18" s="137" t="str">
        <f t="shared" si="7"/>
        <v>-</v>
      </c>
      <c r="X18" s="418"/>
    </row>
    <row r="19" spans="1:24" s="2" customFormat="1" ht="17.100000000000001" customHeight="1" x14ac:dyDescent="0.2">
      <c r="A19" s="177" t="s">
        <v>115</v>
      </c>
      <c r="B19" s="178" t="s">
        <v>268</v>
      </c>
      <c r="C19" s="174">
        <f t="shared" ref="C19:F19" si="24">SUM(C20:C21)</f>
        <v>0</v>
      </c>
      <c r="D19" s="346">
        <f t="shared" si="24"/>
        <v>0</v>
      </c>
      <c r="E19" s="174">
        <f t="shared" si="24"/>
        <v>0</v>
      </c>
      <c r="F19" s="174">
        <f t="shared" si="24"/>
        <v>0</v>
      </c>
      <c r="G19" s="175">
        <f t="shared" si="0"/>
        <v>0</v>
      </c>
      <c r="H19" s="176" t="str">
        <f t="shared" si="1"/>
        <v>-</v>
      </c>
      <c r="I19" s="424"/>
      <c r="J19" s="346">
        <f t="shared" ref="J19:K19" si="25">SUM(J20:J21)</f>
        <v>0</v>
      </c>
      <c r="K19" s="323">
        <f t="shared" si="25"/>
        <v>0</v>
      </c>
      <c r="L19" s="175">
        <f t="shared" si="2"/>
        <v>0</v>
      </c>
      <c r="M19" s="176" t="str">
        <f t="shared" si="3"/>
        <v>-</v>
      </c>
      <c r="N19" s="417"/>
      <c r="O19" s="346">
        <f t="shared" ref="O19:P19" si="26">SUM(O20:O21)</f>
        <v>0</v>
      </c>
      <c r="P19" s="174">
        <f t="shared" si="26"/>
        <v>0</v>
      </c>
      <c r="Q19" s="175">
        <f t="shared" si="4"/>
        <v>0</v>
      </c>
      <c r="R19" s="176" t="str">
        <f t="shared" si="5"/>
        <v>-</v>
      </c>
      <c r="S19" s="417"/>
      <c r="T19" s="174">
        <f t="shared" ref="T19:U19" si="27">SUM(T20:T21)</f>
        <v>0</v>
      </c>
      <c r="U19" s="174">
        <f t="shared" si="27"/>
        <v>0</v>
      </c>
      <c r="V19" s="175">
        <f t="shared" si="6"/>
        <v>0</v>
      </c>
      <c r="W19" s="176" t="str">
        <f t="shared" si="7"/>
        <v>-</v>
      </c>
      <c r="X19" s="417"/>
    </row>
    <row r="20" spans="1:24" ht="17.100000000000001" customHeight="1" x14ac:dyDescent="0.2">
      <c r="A20" s="209" t="s">
        <v>269</v>
      </c>
      <c r="B20" s="70" t="s">
        <v>233</v>
      </c>
      <c r="C20" s="135"/>
      <c r="D20" s="347"/>
      <c r="E20" s="135"/>
      <c r="F20" s="135"/>
      <c r="G20" s="136">
        <f t="shared" si="0"/>
        <v>0</v>
      </c>
      <c r="H20" s="137" t="str">
        <f t="shared" si="1"/>
        <v>-</v>
      </c>
      <c r="I20" s="425"/>
      <c r="J20" s="347"/>
      <c r="K20" s="324"/>
      <c r="L20" s="136">
        <f t="shared" si="2"/>
        <v>0</v>
      </c>
      <c r="M20" s="137" t="str">
        <f t="shared" si="3"/>
        <v>-</v>
      </c>
      <c r="N20" s="418"/>
      <c r="O20" s="347"/>
      <c r="P20" s="135"/>
      <c r="Q20" s="136">
        <f t="shared" si="4"/>
        <v>0</v>
      </c>
      <c r="R20" s="137" t="str">
        <f t="shared" si="5"/>
        <v>-</v>
      </c>
      <c r="S20" s="418"/>
      <c r="T20" s="135"/>
      <c r="U20" s="135"/>
      <c r="V20" s="136">
        <f t="shared" si="6"/>
        <v>0</v>
      </c>
      <c r="W20" s="137" t="str">
        <f t="shared" si="7"/>
        <v>-</v>
      </c>
      <c r="X20" s="418"/>
    </row>
    <row r="21" spans="1:24" ht="17.100000000000001" customHeight="1" x14ac:dyDescent="0.2">
      <c r="A21" s="209" t="s">
        <v>270</v>
      </c>
      <c r="B21" s="70" t="s">
        <v>234</v>
      </c>
      <c r="C21" s="135"/>
      <c r="D21" s="347"/>
      <c r="E21" s="135"/>
      <c r="F21" s="135"/>
      <c r="G21" s="136">
        <f t="shared" si="0"/>
        <v>0</v>
      </c>
      <c r="H21" s="137" t="str">
        <f t="shared" si="1"/>
        <v>-</v>
      </c>
      <c r="I21" s="426"/>
      <c r="J21" s="347"/>
      <c r="K21" s="324"/>
      <c r="L21" s="136">
        <f t="shared" si="2"/>
        <v>0</v>
      </c>
      <c r="M21" s="137" t="str">
        <f t="shared" si="3"/>
        <v>-</v>
      </c>
      <c r="N21" s="419"/>
      <c r="O21" s="347"/>
      <c r="P21" s="135"/>
      <c r="Q21" s="136">
        <f t="shared" si="4"/>
        <v>0</v>
      </c>
      <c r="R21" s="137" t="str">
        <f t="shared" si="5"/>
        <v>-</v>
      </c>
      <c r="S21" s="419"/>
      <c r="T21" s="135"/>
      <c r="U21" s="135"/>
      <c r="V21" s="136">
        <f t="shared" si="6"/>
        <v>0</v>
      </c>
      <c r="W21" s="137" t="str">
        <f t="shared" si="7"/>
        <v>-</v>
      </c>
      <c r="X21" s="419"/>
    </row>
    <row r="22" spans="1:24" s="2" customFormat="1" ht="17.100000000000001" customHeight="1" x14ac:dyDescent="0.2">
      <c r="A22" s="177" t="s">
        <v>116</v>
      </c>
      <c r="B22" s="178" t="s">
        <v>153</v>
      </c>
      <c r="C22" s="174">
        <f>SUM(C23:C26)</f>
        <v>242870</v>
      </c>
      <c r="D22" s="346">
        <f>SUM(D23:D26)</f>
        <v>237993</v>
      </c>
      <c r="E22" s="174">
        <f t="shared" ref="E22:F22" si="28">SUM(E23:E26)</f>
        <v>61493</v>
      </c>
      <c r="F22" s="174">
        <f t="shared" si="28"/>
        <v>62339</v>
      </c>
      <c r="G22" s="175">
        <f t="shared" si="0"/>
        <v>846</v>
      </c>
      <c r="H22" s="176">
        <f t="shared" si="1"/>
        <v>1.3757663473891337E-2</v>
      </c>
      <c r="I22" s="424"/>
      <c r="J22" s="346">
        <f t="shared" ref="J22:K22" si="29">SUM(J23:J26)</f>
        <v>118293</v>
      </c>
      <c r="K22" s="323">
        <f t="shared" si="29"/>
        <v>126505</v>
      </c>
      <c r="L22" s="175">
        <f t="shared" si="2"/>
        <v>8212</v>
      </c>
      <c r="M22" s="176">
        <f t="shared" si="3"/>
        <v>6.9420844851343699E-2</v>
      </c>
      <c r="N22" s="424" t="s">
        <v>398</v>
      </c>
      <c r="O22" s="346">
        <f t="shared" ref="O22:P22" si="30">SUM(O23:O26)</f>
        <v>177843</v>
      </c>
      <c r="P22" s="174">
        <f t="shared" si="30"/>
        <v>204409</v>
      </c>
      <c r="Q22" s="175">
        <f t="shared" si="4"/>
        <v>26566</v>
      </c>
      <c r="R22" s="176">
        <f t="shared" si="5"/>
        <v>0.1493789465989665</v>
      </c>
      <c r="S22" s="433" t="s">
        <v>416</v>
      </c>
      <c r="T22" s="174">
        <f t="shared" ref="T22:U22" si="31">SUM(T23:T26)</f>
        <v>237993</v>
      </c>
      <c r="U22" s="174">
        <f t="shared" si="31"/>
        <v>0</v>
      </c>
      <c r="V22" s="175">
        <f t="shared" si="6"/>
        <v>-237993</v>
      </c>
      <c r="W22" s="176">
        <f t="shared" si="7"/>
        <v>-1</v>
      </c>
      <c r="X22" s="417"/>
    </row>
    <row r="23" spans="1:24" ht="17.100000000000001" customHeight="1" x14ac:dyDescent="0.2">
      <c r="A23" s="209" t="s">
        <v>179</v>
      </c>
      <c r="B23" s="70" t="s">
        <v>318</v>
      </c>
      <c r="C23" s="135">
        <v>150041</v>
      </c>
      <c r="D23" s="347">
        <v>180000</v>
      </c>
      <c r="E23" s="135">
        <f t="shared" ref="E23:E28" si="32">ROUND(D23/4,0)</f>
        <v>45000</v>
      </c>
      <c r="F23" s="135">
        <v>46305</v>
      </c>
      <c r="G23" s="136">
        <f t="shared" si="0"/>
        <v>1305</v>
      </c>
      <c r="H23" s="137">
        <f t="shared" si="1"/>
        <v>2.9000000000000001E-2</v>
      </c>
      <c r="I23" s="425"/>
      <c r="J23" s="347">
        <f t="shared" ref="J23:J28" si="33">ROUND(D23/2,0)</f>
        <v>90000</v>
      </c>
      <c r="K23" s="324">
        <f>96154+8-4136</f>
        <v>92026</v>
      </c>
      <c r="L23" s="136">
        <f t="shared" si="2"/>
        <v>2026</v>
      </c>
      <c r="M23" s="137">
        <f t="shared" si="3"/>
        <v>2.251111111111111E-2</v>
      </c>
      <c r="N23" s="425"/>
      <c r="O23" s="347">
        <f t="shared" ref="O23:O28" si="34">ROUND(D23/4*3,0)</f>
        <v>135000</v>
      </c>
      <c r="P23" s="135">
        <v>142202</v>
      </c>
      <c r="Q23" s="136">
        <f t="shared" si="4"/>
        <v>7202</v>
      </c>
      <c r="R23" s="137">
        <f t="shared" si="5"/>
        <v>5.3348148148148151E-2</v>
      </c>
      <c r="S23" s="434"/>
      <c r="T23" s="135">
        <f>D23</f>
        <v>180000</v>
      </c>
      <c r="U23" s="135"/>
      <c r="V23" s="136">
        <f t="shared" si="6"/>
        <v>-180000</v>
      </c>
      <c r="W23" s="137">
        <f t="shared" si="7"/>
        <v>-1</v>
      </c>
      <c r="X23" s="418"/>
    </row>
    <row r="24" spans="1:24" ht="17.100000000000001" customHeight="1" x14ac:dyDescent="0.2">
      <c r="A24" s="209" t="s">
        <v>180</v>
      </c>
      <c r="B24" s="70" t="s">
        <v>319</v>
      </c>
      <c r="C24" s="135">
        <v>6356</v>
      </c>
      <c r="D24" s="347">
        <v>993</v>
      </c>
      <c r="E24" s="135">
        <v>993</v>
      </c>
      <c r="F24" s="135">
        <v>961</v>
      </c>
      <c r="G24" s="136">
        <f t="shared" si="0"/>
        <v>-32</v>
      </c>
      <c r="H24" s="137">
        <f t="shared" si="1"/>
        <v>-3.2225579053373615E-2</v>
      </c>
      <c r="I24" s="425"/>
      <c r="J24" s="347">
        <v>993</v>
      </c>
      <c r="K24" s="324">
        <v>961</v>
      </c>
      <c r="L24" s="136">
        <f t="shared" si="2"/>
        <v>-32</v>
      </c>
      <c r="M24" s="137">
        <f t="shared" si="3"/>
        <v>-3.2225579053373615E-2</v>
      </c>
      <c r="N24" s="425"/>
      <c r="O24" s="347">
        <v>993</v>
      </c>
      <c r="P24" s="135">
        <v>961</v>
      </c>
      <c r="Q24" s="136">
        <f t="shared" si="4"/>
        <v>-32</v>
      </c>
      <c r="R24" s="137">
        <f t="shared" si="5"/>
        <v>-3.2225579053373615E-2</v>
      </c>
      <c r="S24" s="434"/>
      <c r="T24" s="135">
        <f t="shared" ref="T24:T29" si="35">D24</f>
        <v>993</v>
      </c>
      <c r="U24" s="135"/>
      <c r="V24" s="136">
        <f t="shared" si="6"/>
        <v>-993</v>
      </c>
      <c r="W24" s="137">
        <f t="shared" si="7"/>
        <v>-1</v>
      </c>
      <c r="X24" s="418"/>
    </row>
    <row r="25" spans="1:24" ht="17.100000000000001" customHeight="1" x14ac:dyDescent="0.2">
      <c r="A25" s="209" t="s">
        <v>117</v>
      </c>
      <c r="B25" s="70" t="s">
        <v>320</v>
      </c>
      <c r="C25" s="135">
        <f>86473-33009</f>
        <v>53464</v>
      </c>
      <c r="D25" s="347">
        <v>27000</v>
      </c>
      <c r="E25" s="135">
        <f t="shared" si="32"/>
        <v>6750</v>
      </c>
      <c r="F25" s="135">
        <f>2156+4961</f>
        <v>7117</v>
      </c>
      <c r="G25" s="136">
        <f t="shared" si="0"/>
        <v>367</v>
      </c>
      <c r="H25" s="137">
        <f t="shared" si="1"/>
        <v>5.4370370370370368E-2</v>
      </c>
      <c r="I25" s="425"/>
      <c r="J25" s="347">
        <f t="shared" si="33"/>
        <v>13500</v>
      </c>
      <c r="K25" s="324">
        <f>4466+9705+4136</f>
        <v>18307</v>
      </c>
      <c r="L25" s="136">
        <f t="shared" ref="L25" si="36">K25-J25</f>
        <v>4807</v>
      </c>
      <c r="M25" s="137">
        <f t="shared" ref="M25" si="37">IFERROR(L25/ABS(J25), "-")</f>
        <v>0.3560740740740741</v>
      </c>
      <c r="N25" s="425"/>
      <c r="O25" s="347">
        <f t="shared" si="34"/>
        <v>20250</v>
      </c>
      <c r="P25" s="135">
        <v>38070</v>
      </c>
      <c r="Q25" s="136">
        <f t="shared" ref="Q25" si="38">P25-O25</f>
        <v>17820</v>
      </c>
      <c r="R25" s="137">
        <f t="shared" ref="R25" si="39">IFERROR(Q25/ABS(O25), "-")</f>
        <v>0.88</v>
      </c>
      <c r="S25" s="434"/>
      <c r="T25" s="135">
        <f t="shared" si="35"/>
        <v>27000</v>
      </c>
      <c r="U25" s="135"/>
      <c r="V25" s="136"/>
      <c r="W25" s="137"/>
      <c r="X25" s="418"/>
    </row>
    <row r="26" spans="1:24" ht="17.100000000000001" customHeight="1" x14ac:dyDescent="0.2">
      <c r="A26" s="209" t="s">
        <v>309</v>
      </c>
      <c r="B26" s="70" t="s">
        <v>321</v>
      </c>
      <c r="C26" s="135">
        <v>33009</v>
      </c>
      <c r="D26" s="347">
        <v>30000</v>
      </c>
      <c r="E26" s="135">
        <v>8750</v>
      </c>
      <c r="F26" s="135">
        <f>7676+280</f>
        <v>7956</v>
      </c>
      <c r="G26" s="136">
        <f t="shared" si="0"/>
        <v>-794</v>
      </c>
      <c r="H26" s="137">
        <f t="shared" si="1"/>
        <v>-9.0742857142857139E-2</v>
      </c>
      <c r="I26" s="426"/>
      <c r="J26" s="347">
        <v>13800</v>
      </c>
      <c r="K26" s="324">
        <f>14668+280+263</f>
        <v>15211</v>
      </c>
      <c r="L26" s="136">
        <f t="shared" si="2"/>
        <v>1411</v>
      </c>
      <c r="M26" s="137">
        <f t="shared" si="3"/>
        <v>0.10224637681159421</v>
      </c>
      <c r="N26" s="426"/>
      <c r="O26" s="347">
        <v>21600</v>
      </c>
      <c r="P26" s="135">
        <v>23176</v>
      </c>
      <c r="Q26" s="136">
        <f t="shared" si="4"/>
        <v>1576</v>
      </c>
      <c r="R26" s="137">
        <f t="shared" si="5"/>
        <v>7.2962962962962966E-2</v>
      </c>
      <c r="S26" s="435"/>
      <c r="T26" s="135">
        <f t="shared" si="35"/>
        <v>30000</v>
      </c>
      <c r="U26" s="135"/>
      <c r="V26" s="136">
        <f t="shared" si="6"/>
        <v>-30000</v>
      </c>
      <c r="W26" s="137">
        <f t="shared" si="7"/>
        <v>-1</v>
      </c>
      <c r="X26" s="419"/>
    </row>
    <row r="27" spans="1:24" ht="17.100000000000001" customHeight="1" x14ac:dyDescent="0.2">
      <c r="A27" s="140" t="s">
        <v>120</v>
      </c>
      <c r="B27" s="141" t="s">
        <v>4</v>
      </c>
      <c r="C27" s="142">
        <v>51245</v>
      </c>
      <c r="D27" s="348">
        <v>52000</v>
      </c>
      <c r="E27" s="135">
        <f t="shared" si="32"/>
        <v>13000</v>
      </c>
      <c r="F27" s="142">
        <v>12340</v>
      </c>
      <c r="G27" s="143">
        <f t="shared" si="0"/>
        <v>-660</v>
      </c>
      <c r="H27" s="144">
        <f t="shared" si="1"/>
        <v>-5.0769230769230768E-2</v>
      </c>
      <c r="I27" s="295"/>
      <c r="J27" s="347">
        <f t="shared" si="33"/>
        <v>26000</v>
      </c>
      <c r="K27" s="324">
        <f>180+23146+51+995</f>
        <v>24372</v>
      </c>
      <c r="L27" s="143">
        <f t="shared" si="2"/>
        <v>-1628</v>
      </c>
      <c r="M27" s="144">
        <f t="shared" si="3"/>
        <v>-6.2615384615384614E-2</v>
      </c>
      <c r="N27" s="145"/>
      <c r="O27" s="347">
        <f t="shared" si="34"/>
        <v>39000</v>
      </c>
      <c r="P27" s="142">
        <v>38880</v>
      </c>
      <c r="Q27" s="143">
        <f t="shared" si="4"/>
        <v>-120</v>
      </c>
      <c r="R27" s="144">
        <f t="shared" si="5"/>
        <v>-3.0769230769230769E-3</v>
      </c>
      <c r="S27" s="145"/>
      <c r="T27" s="135">
        <f t="shared" si="35"/>
        <v>52000</v>
      </c>
      <c r="U27" s="142"/>
      <c r="V27" s="143">
        <f t="shared" si="6"/>
        <v>-52000</v>
      </c>
      <c r="W27" s="144">
        <f t="shared" si="7"/>
        <v>-1</v>
      </c>
      <c r="X27" s="145"/>
    </row>
    <row r="28" spans="1:24" ht="17.100000000000001" customHeight="1" x14ac:dyDescent="0.2">
      <c r="A28" s="140" t="s">
        <v>121</v>
      </c>
      <c r="B28" s="141" t="s">
        <v>5</v>
      </c>
      <c r="C28" s="142">
        <v>8524</v>
      </c>
      <c r="D28" s="348">
        <v>8500</v>
      </c>
      <c r="E28" s="135">
        <f t="shared" si="32"/>
        <v>2125</v>
      </c>
      <c r="F28" s="142">
        <v>2134</v>
      </c>
      <c r="G28" s="143">
        <f t="shared" si="0"/>
        <v>9</v>
      </c>
      <c r="H28" s="144">
        <f t="shared" si="1"/>
        <v>4.2352941176470585E-3</v>
      </c>
      <c r="I28" s="295"/>
      <c r="J28" s="347">
        <f t="shared" si="33"/>
        <v>4250</v>
      </c>
      <c r="K28" s="324">
        <f>4193+12</f>
        <v>4205</v>
      </c>
      <c r="L28" s="143">
        <f t="shared" si="2"/>
        <v>-45</v>
      </c>
      <c r="M28" s="144">
        <f t="shared" si="3"/>
        <v>-1.0588235294117647E-2</v>
      </c>
      <c r="N28" s="145"/>
      <c r="O28" s="347">
        <f t="shared" si="34"/>
        <v>6375</v>
      </c>
      <c r="P28" s="142">
        <v>6408</v>
      </c>
      <c r="Q28" s="143">
        <f t="shared" si="4"/>
        <v>33</v>
      </c>
      <c r="R28" s="144">
        <f t="shared" si="5"/>
        <v>5.1764705882352945E-3</v>
      </c>
      <c r="S28" s="145"/>
      <c r="T28" s="135">
        <f t="shared" si="35"/>
        <v>8500</v>
      </c>
      <c r="U28" s="142"/>
      <c r="V28" s="143">
        <f t="shared" si="6"/>
        <v>-8500</v>
      </c>
      <c r="W28" s="144">
        <f t="shared" si="7"/>
        <v>-1</v>
      </c>
      <c r="X28" s="145"/>
    </row>
    <row r="29" spans="1:24" ht="17.100000000000001" customHeight="1" x14ac:dyDescent="0.2">
      <c r="A29" s="140" t="s">
        <v>122</v>
      </c>
      <c r="B29" s="141" t="s">
        <v>6</v>
      </c>
      <c r="C29" s="142"/>
      <c r="D29" s="348">
        <v>1000</v>
      </c>
      <c r="E29" s="142"/>
      <c r="F29" s="142">
        <f>815+42</f>
        <v>857</v>
      </c>
      <c r="G29" s="143">
        <f t="shared" si="0"/>
        <v>857</v>
      </c>
      <c r="H29" s="144" t="str">
        <f t="shared" si="1"/>
        <v>-</v>
      </c>
      <c r="I29" s="295"/>
      <c r="J29" s="348">
        <v>900</v>
      </c>
      <c r="K29" s="324">
        <f>815+42</f>
        <v>857</v>
      </c>
      <c r="L29" s="143">
        <f t="shared" si="2"/>
        <v>-43</v>
      </c>
      <c r="M29" s="144">
        <f t="shared" si="3"/>
        <v>-4.777777777777778E-2</v>
      </c>
      <c r="N29" s="145"/>
      <c r="O29" s="348">
        <v>950</v>
      </c>
      <c r="P29" s="142">
        <v>11370</v>
      </c>
      <c r="Q29" s="143">
        <f t="shared" si="4"/>
        <v>10420</v>
      </c>
      <c r="R29" s="144">
        <f t="shared" si="5"/>
        <v>10.968421052631578</v>
      </c>
      <c r="S29" s="295" t="s">
        <v>417</v>
      </c>
      <c r="T29" s="142">
        <f t="shared" si="35"/>
        <v>1000</v>
      </c>
      <c r="U29" s="142"/>
      <c r="V29" s="143">
        <f t="shared" si="6"/>
        <v>-1000</v>
      </c>
      <c r="W29" s="144">
        <f t="shared" si="7"/>
        <v>-1</v>
      </c>
      <c r="X29" s="145"/>
    </row>
    <row r="30" spans="1:24" s="3" customFormat="1" ht="17.100000000000001" customHeight="1" x14ac:dyDescent="0.2">
      <c r="A30" s="140" t="s">
        <v>123</v>
      </c>
      <c r="B30" s="146" t="s">
        <v>7</v>
      </c>
      <c r="C30" s="147"/>
      <c r="D30" s="348"/>
      <c r="E30" s="142"/>
      <c r="F30" s="142"/>
      <c r="G30" s="143">
        <f t="shared" si="0"/>
        <v>0</v>
      </c>
      <c r="H30" s="144" t="str">
        <f t="shared" si="1"/>
        <v>-</v>
      </c>
      <c r="I30" s="295"/>
      <c r="J30" s="348"/>
      <c r="K30" s="324"/>
      <c r="L30" s="143">
        <f t="shared" si="2"/>
        <v>0</v>
      </c>
      <c r="M30" s="144" t="str">
        <f t="shared" si="3"/>
        <v>-</v>
      </c>
      <c r="N30" s="145"/>
      <c r="O30" s="348"/>
      <c r="P30" s="142"/>
      <c r="Q30" s="143">
        <f t="shared" si="4"/>
        <v>0</v>
      </c>
      <c r="R30" s="144" t="str">
        <f t="shared" si="5"/>
        <v>-</v>
      </c>
      <c r="S30" s="145"/>
      <c r="T30" s="142"/>
      <c r="U30" s="142"/>
      <c r="V30" s="143">
        <f t="shared" si="6"/>
        <v>0</v>
      </c>
      <c r="W30" s="144" t="str">
        <f t="shared" si="7"/>
        <v>-</v>
      </c>
      <c r="X30" s="145"/>
    </row>
    <row r="31" spans="1:24" s="3" customFormat="1" ht="17.100000000000001" customHeight="1" x14ac:dyDescent="0.2">
      <c r="A31" s="148" t="s">
        <v>124</v>
      </c>
      <c r="B31" s="149" t="s">
        <v>272</v>
      </c>
      <c r="C31" s="150">
        <v>445738</v>
      </c>
      <c r="D31" s="349">
        <v>0</v>
      </c>
      <c r="E31" s="151"/>
      <c r="F31" s="151"/>
      <c r="G31" s="152">
        <f t="shared" si="0"/>
        <v>0</v>
      </c>
      <c r="H31" s="153" t="str">
        <f t="shared" si="1"/>
        <v>-</v>
      </c>
      <c r="I31" s="295"/>
      <c r="J31" s="349"/>
      <c r="K31" s="325">
        <v>1571</v>
      </c>
      <c r="L31" s="152">
        <f t="shared" si="2"/>
        <v>1571</v>
      </c>
      <c r="M31" s="153" t="str">
        <f t="shared" si="3"/>
        <v>-</v>
      </c>
      <c r="N31" s="145"/>
      <c r="O31" s="349"/>
      <c r="P31" s="151">
        <v>2070</v>
      </c>
      <c r="Q31" s="152">
        <f t="shared" si="4"/>
        <v>2070</v>
      </c>
      <c r="R31" s="153" t="str">
        <f t="shared" si="5"/>
        <v>-</v>
      </c>
      <c r="S31" s="145"/>
      <c r="T31" s="151">
        <f>D31</f>
        <v>0</v>
      </c>
      <c r="U31" s="151"/>
      <c r="V31" s="152">
        <f t="shared" si="6"/>
        <v>0</v>
      </c>
      <c r="W31" s="153" t="str">
        <f t="shared" si="7"/>
        <v>-</v>
      </c>
      <c r="X31" s="145"/>
    </row>
    <row r="32" spans="1:24" ht="17.100000000000001" customHeight="1" x14ac:dyDescent="0.2">
      <c r="A32" s="230" t="s">
        <v>8</v>
      </c>
      <c r="B32" s="231" t="s">
        <v>201</v>
      </c>
      <c r="C32" s="232">
        <f>C33+C58+C140</f>
        <v>11403795</v>
      </c>
      <c r="D32" s="344">
        <f>D33+D58+D140</f>
        <v>12362143</v>
      </c>
      <c r="E32" s="232">
        <f>E33+E58+E140</f>
        <v>2959107</v>
      </c>
      <c r="F32" s="232">
        <f>F33+F58+F140</f>
        <v>2884495</v>
      </c>
      <c r="G32" s="233">
        <f t="shared" si="0"/>
        <v>-74612</v>
      </c>
      <c r="H32" s="234">
        <f t="shared" si="1"/>
        <v>-2.5214363657684567E-2</v>
      </c>
      <c r="I32" s="293"/>
      <c r="J32" s="344">
        <f>J33+J58+J140</f>
        <v>5823315</v>
      </c>
      <c r="K32" s="321">
        <f>K33+K58+K140</f>
        <v>5877994</v>
      </c>
      <c r="L32" s="233">
        <f t="shared" si="2"/>
        <v>54679</v>
      </c>
      <c r="M32" s="234">
        <f t="shared" si="3"/>
        <v>9.3896689428615825E-3</v>
      </c>
      <c r="N32" s="235"/>
      <c r="O32" s="344">
        <f>O33+O58+O140</f>
        <v>8630146</v>
      </c>
      <c r="P32" s="232">
        <f>P33+P58+P140</f>
        <v>8962870</v>
      </c>
      <c r="Q32" s="233">
        <f t="shared" si="4"/>
        <v>332724</v>
      </c>
      <c r="R32" s="234">
        <f t="shared" si="5"/>
        <v>3.85536930661428E-2</v>
      </c>
      <c r="S32" s="235"/>
      <c r="T32" s="232">
        <f>T33+T58+T140</f>
        <v>12362143</v>
      </c>
      <c r="U32" s="232">
        <f>U33+U58+U140</f>
        <v>0</v>
      </c>
      <c r="V32" s="233">
        <f t="shared" si="6"/>
        <v>-12362143</v>
      </c>
      <c r="W32" s="234">
        <f t="shared" si="7"/>
        <v>-1</v>
      </c>
      <c r="X32" s="235"/>
    </row>
    <row r="33" spans="1:24" s="2" customFormat="1" ht="17.100000000000001" customHeight="1" x14ac:dyDescent="0.2">
      <c r="A33" s="202" t="s">
        <v>9</v>
      </c>
      <c r="B33" s="212" t="s">
        <v>10</v>
      </c>
      <c r="C33" s="203">
        <f t="shared" ref="C33:F33" si="40">C34+C50</f>
        <v>9703539</v>
      </c>
      <c r="D33" s="345">
        <f t="shared" si="40"/>
        <v>10590436</v>
      </c>
      <c r="E33" s="203">
        <f t="shared" si="40"/>
        <v>2410403</v>
      </c>
      <c r="F33" s="203">
        <f t="shared" si="40"/>
        <v>2405567</v>
      </c>
      <c r="G33" s="204">
        <f t="shared" si="0"/>
        <v>-4836</v>
      </c>
      <c r="H33" s="205">
        <f t="shared" si="1"/>
        <v>-2.0063035102428932E-3</v>
      </c>
      <c r="I33" s="294"/>
      <c r="J33" s="345">
        <f t="shared" ref="J33:K33" si="41">J34+J50</f>
        <v>4903821</v>
      </c>
      <c r="K33" s="322">
        <f t="shared" si="41"/>
        <v>4999482</v>
      </c>
      <c r="L33" s="204">
        <f t="shared" si="2"/>
        <v>95661</v>
      </c>
      <c r="M33" s="205">
        <f t="shared" si="3"/>
        <v>1.9507441238169176E-2</v>
      </c>
      <c r="N33" s="206"/>
      <c r="O33" s="345">
        <f>O34+O50</f>
        <v>7316188</v>
      </c>
      <c r="P33" s="203">
        <f>P34+P50</f>
        <v>7616248</v>
      </c>
      <c r="Q33" s="204">
        <f t="shared" si="4"/>
        <v>300060</v>
      </c>
      <c r="R33" s="205">
        <f t="shared" si="5"/>
        <v>4.1013161498857052E-2</v>
      </c>
      <c r="S33" s="206"/>
      <c r="T33" s="203">
        <f t="shared" ref="T33:U33" si="42">T34+T50</f>
        <v>10590436</v>
      </c>
      <c r="U33" s="203">
        <f t="shared" si="42"/>
        <v>0</v>
      </c>
      <c r="V33" s="204">
        <f>U33-T33</f>
        <v>-10590436</v>
      </c>
      <c r="W33" s="205">
        <f t="shared" si="7"/>
        <v>-1</v>
      </c>
      <c r="X33" s="206"/>
    </row>
    <row r="34" spans="1:24" s="2" customFormat="1" ht="17.100000000000001" customHeight="1" x14ac:dyDescent="0.2">
      <c r="A34" s="119">
        <v>1100</v>
      </c>
      <c r="B34" s="120" t="s">
        <v>11</v>
      </c>
      <c r="C34" s="179">
        <f>C35+C39+C49+C48</f>
        <v>7678919</v>
      </c>
      <c r="D34" s="350">
        <f t="shared" ref="D34:F34" si="43">D35+D39+D49+D48</f>
        <v>8462236</v>
      </c>
      <c r="E34" s="179">
        <f t="shared" si="43"/>
        <v>1920954</v>
      </c>
      <c r="F34" s="179">
        <f t="shared" si="43"/>
        <v>1913321</v>
      </c>
      <c r="G34" s="175">
        <f t="shared" si="0"/>
        <v>-7633</v>
      </c>
      <c r="H34" s="176">
        <f t="shared" si="1"/>
        <v>-3.9735464774273612E-3</v>
      </c>
      <c r="I34" s="296"/>
      <c r="J34" s="350">
        <f t="shared" ref="J34:K34" si="44">J35+J39+J49+J48</f>
        <v>3898298</v>
      </c>
      <c r="K34" s="326">
        <f t="shared" si="44"/>
        <v>3979910</v>
      </c>
      <c r="L34" s="175">
        <f t="shared" si="2"/>
        <v>81612</v>
      </c>
      <c r="M34" s="176">
        <f t="shared" si="3"/>
        <v>2.0935290221527444E-2</v>
      </c>
      <c r="N34" s="245"/>
      <c r="O34" s="350">
        <f t="shared" ref="O34:P34" si="45">O35+O39+O49+O48</f>
        <v>5821707</v>
      </c>
      <c r="P34" s="179">
        <f t="shared" si="45"/>
        <v>6067415</v>
      </c>
      <c r="Q34" s="175">
        <f t="shared" si="4"/>
        <v>245708</v>
      </c>
      <c r="R34" s="176">
        <f t="shared" si="5"/>
        <v>4.220549058892864E-2</v>
      </c>
      <c r="S34" s="245"/>
      <c r="T34" s="179">
        <f t="shared" ref="T34:U34" si="46">T35+T39+T49+T48</f>
        <v>8462236</v>
      </c>
      <c r="U34" s="179">
        <f t="shared" si="46"/>
        <v>0</v>
      </c>
      <c r="V34" s="175">
        <f t="shared" si="6"/>
        <v>-8462236</v>
      </c>
      <c r="W34" s="176">
        <f t="shared" si="7"/>
        <v>-1</v>
      </c>
      <c r="X34" s="245"/>
    </row>
    <row r="35" spans="1:24" ht="17.100000000000001" customHeight="1" x14ac:dyDescent="0.2">
      <c r="A35" s="154">
        <v>1110</v>
      </c>
      <c r="B35" s="155" t="s">
        <v>12</v>
      </c>
      <c r="C35" s="156">
        <f>SUM(C36:C38)</f>
        <v>5816985</v>
      </c>
      <c r="D35" s="351">
        <f t="shared" ref="D35:F35" si="47">SUM(D36:D38)</f>
        <v>6655941</v>
      </c>
      <c r="E35" s="156">
        <f t="shared" si="47"/>
        <v>1463141</v>
      </c>
      <c r="F35" s="156">
        <f t="shared" si="47"/>
        <v>1475089</v>
      </c>
      <c r="G35" s="136">
        <f t="shared" si="0"/>
        <v>11948</v>
      </c>
      <c r="H35" s="137">
        <f t="shared" si="1"/>
        <v>8.1659935713646187E-3</v>
      </c>
      <c r="I35" s="436"/>
      <c r="J35" s="351">
        <f t="shared" ref="J35:K35" si="48">SUM(J36:J38)</f>
        <v>2995310</v>
      </c>
      <c r="K35" s="327">
        <f t="shared" si="48"/>
        <v>3096400</v>
      </c>
      <c r="L35" s="136">
        <f t="shared" si="2"/>
        <v>101090</v>
      </c>
      <c r="M35" s="137">
        <f t="shared" si="3"/>
        <v>3.3749428272866581E-2</v>
      </c>
      <c r="N35" s="436" t="s">
        <v>405</v>
      </c>
      <c r="O35" s="351">
        <f t="shared" ref="O35:P35" si="49">SUM(O36:O38)</f>
        <v>4513555</v>
      </c>
      <c r="P35" s="156">
        <f t="shared" si="49"/>
        <v>4767034</v>
      </c>
      <c r="Q35" s="136">
        <f t="shared" si="4"/>
        <v>253479</v>
      </c>
      <c r="R35" s="137">
        <f t="shared" si="5"/>
        <v>5.6159501767453816E-2</v>
      </c>
      <c r="S35" s="416" t="s">
        <v>418</v>
      </c>
      <c r="T35" s="156">
        <f t="shared" ref="T35:U35" si="50">SUM(T36:T38)</f>
        <v>6655941</v>
      </c>
      <c r="U35" s="156">
        <f t="shared" si="50"/>
        <v>0</v>
      </c>
      <c r="V35" s="136">
        <f t="shared" si="6"/>
        <v>-6655941</v>
      </c>
      <c r="W35" s="137">
        <f t="shared" si="7"/>
        <v>-1</v>
      </c>
      <c r="X35" s="423"/>
    </row>
    <row r="36" spans="1:24" ht="17.100000000000001" customHeight="1" x14ac:dyDescent="0.2">
      <c r="A36" s="207">
        <v>1111</v>
      </c>
      <c r="B36" s="157" t="s">
        <v>198</v>
      </c>
      <c r="C36" s="158">
        <v>72000</v>
      </c>
      <c r="D36" s="347">
        <v>72000</v>
      </c>
      <c r="E36" s="135">
        <v>18000</v>
      </c>
      <c r="F36" s="135">
        <v>18000</v>
      </c>
      <c r="G36" s="136">
        <f t="shared" si="0"/>
        <v>0</v>
      </c>
      <c r="H36" s="137">
        <f t="shared" si="1"/>
        <v>0</v>
      </c>
      <c r="I36" s="436"/>
      <c r="J36" s="347">
        <v>36000</v>
      </c>
      <c r="K36" s="324">
        <v>36000</v>
      </c>
      <c r="L36" s="136">
        <f t="shared" si="2"/>
        <v>0</v>
      </c>
      <c r="M36" s="137">
        <f t="shared" si="3"/>
        <v>0</v>
      </c>
      <c r="N36" s="436"/>
      <c r="O36" s="347">
        <v>54000</v>
      </c>
      <c r="P36" s="135">
        <v>54000</v>
      </c>
      <c r="Q36" s="136">
        <f t="shared" si="4"/>
        <v>0</v>
      </c>
      <c r="R36" s="137">
        <f t="shared" si="5"/>
        <v>0</v>
      </c>
      <c r="S36" s="416"/>
      <c r="T36" s="135">
        <f>D36</f>
        <v>72000</v>
      </c>
      <c r="U36" s="135"/>
      <c r="V36" s="136">
        <f t="shared" si="6"/>
        <v>-72000</v>
      </c>
      <c r="W36" s="137">
        <f t="shared" si="7"/>
        <v>-1</v>
      </c>
      <c r="X36" s="423"/>
    </row>
    <row r="37" spans="1:24" ht="17.100000000000001" customHeight="1" x14ac:dyDescent="0.2">
      <c r="A37" s="207">
        <v>1112</v>
      </c>
      <c r="B37" s="157" t="s">
        <v>330</v>
      </c>
      <c r="C37" s="158"/>
      <c r="D37" s="347"/>
      <c r="E37" s="135"/>
      <c r="F37" s="135"/>
      <c r="G37" s="136"/>
      <c r="H37" s="137"/>
      <c r="I37" s="436"/>
      <c r="J37" s="347"/>
      <c r="K37" s="324"/>
      <c r="L37" s="136"/>
      <c r="M37" s="137"/>
      <c r="N37" s="436"/>
      <c r="O37" s="347"/>
      <c r="P37" s="135"/>
      <c r="Q37" s="136"/>
      <c r="R37" s="137"/>
      <c r="S37" s="416"/>
      <c r="T37" s="135">
        <f t="shared" ref="T37:T38" si="51">D37</f>
        <v>0</v>
      </c>
      <c r="U37" s="135"/>
      <c r="V37" s="136"/>
      <c r="W37" s="137"/>
      <c r="X37" s="423"/>
    </row>
    <row r="38" spans="1:24" ht="17.100000000000001" customHeight="1" x14ac:dyDescent="0.2">
      <c r="A38" s="207">
        <v>1113</v>
      </c>
      <c r="B38" s="157" t="s">
        <v>199</v>
      </c>
      <c r="C38" s="158">
        <v>5744985</v>
      </c>
      <c r="D38" s="347">
        <f>6715941-D36-60000</f>
        <v>6583941</v>
      </c>
      <c r="E38" s="135">
        <f>1495141-50000</f>
        <v>1445141</v>
      </c>
      <c r="F38" s="135">
        <f>1474994-F36+95</f>
        <v>1457089</v>
      </c>
      <c r="G38" s="136">
        <f t="shared" si="0"/>
        <v>11948</v>
      </c>
      <c r="H38" s="137">
        <f t="shared" si="1"/>
        <v>8.2677053657739964E-3</v>
      </c>
      <c r="I38" s="436"/>
      <c r="J38" s="347">
        <f>3009310-50000</f>
        <v>2959310</v>
      </c>
      <c r="K38" s="324">
        <f>3092178-K36+4013+209</f>
        <v>3060400</v>
      </c>
      <c r="L38" s="136">
        <f t="shared" si="2"/>
        <v>101090</v>
      </c>
      <c r="M38" s="137">
        <f t="shared" si="3"/>
        <v>3.4159989997668373E-2</v>
      </c>
      <c r="N38" s="436"/>
      <c r="O38" s="347">
        <f>4534555-75000</f>
        <v>4459555</v>
      </c>
      <c r="P38" s="135">
        <f>4391522+369371-54000+5934+207</f>
        <v>4713034</v>
      </c>
      <c r="Q38" s="136">
        <f t="shared" si="4"/>
        <v>253479</v>
      </c>
      <c r="R38" s="137">
        <f t="shared" si="5"/>
        <v>5.6839527710724501E-2</v>
      </c>
      <c r="S38" s="416"/>
      <c r="T38" s="135">
        <f t="shared" si="51"/>
        <v>6583941</v>
      </c>
      <c r="U38" s="135"/>
      <c r="V38" s="136">
        <f t="shared" si="6"/>
        <v>-6583941</v>
      </c>
      <c r="W38" s="137">
        <f t="shared" si="7"/>
        <v>-1</v>
      </c>
      <c r="X38" s="423"/>
    </row>
    <row r="39" spans="1:24" s="208" customFormat="1" ht="17.100000000000001" customHeight="1" x14ac:dyDescent="0.2">
      <c r="A39" s="154">
        <v>1140</v>
      </c>
      <c r="B39" s="162" t="s">
        <v>125</v>
      </c>
      <c r="C39" s="201">
        <f t="shared" ref="C39:F39" si="52">SUM(C40:C47)</f>
        <v>1802008</v>
      </c>
      <c r="D39" s="352">
        <f t="shared" si="52"/>
        <v>1732293</v>
      </c>
      <c r="E39" s="201">
        <f t="shared" si="52"/>
        <v>438065</v>
      </c>
      <c r="F39" s="201">
        <f t="shared" si="52"/>
        <v>421125</v>
      </c>
      <c r="G39" s="143">
        <f t="shared" si="0"/>
        <v>-16940</v>
      </c>
      <c r="H39" s="144">
        <f t="shared" si="1"/>
        <v>-3.8670060379167474E-2</v>
      </c>
      <c r="I39" s="424" t="s">
        <v>375</v>
      </c>
      <c r="J39" s="352">
        <f t="shared" ref="J39:K39" si="53">SUM(J40:J47)</f>
        <v>864332</v>
      </c>
      <c r="K39" s="327">
        <f t="shared" si="53"/>
        <v>850374</v>
      </c>
      <c r="L39" s="143">
        <f t="shared" si="2"/>
        <v>-13958</v>
      </c>
      <c r="M39" s="144">
        <f t="shared" si="3"/>
        <v>-1.6148887233146524E-2</v>
      </c>
      <c r="N39" s="424" t="s">
        <v>399</v>
      </c>
      <c r="O39" s="352">
        <f t="shared" ref="O39:P39" si="54">SUM(O40:O47)</f>
        <v>1250587</v>
      </c>
      <c r="P39" s="201">
        <f t="shared" si="54"/>
        <v>1244030</v>
      </c>
      <c r="Q39" s="143">
        <f t="shared" si="4"/>
        <v>-6557</v>
      </c>
      <c r="R39" s="144">
        <f t="shared" si="5"/>
        <v>-5.2431378224785637E-3</v>
      </c>
      <c r="S39" s="430" t="s">
        <v>419</v>
      </c>
      <c r="T39" s="201">
        <f t="shared" ref="T39:U39" si="55">SUM(T40:T47)</f>
        <v>1732293</v>
      </c>
      <c r="U39" s="201">
        <f t="shared" si="55"/>
        <v>0</v>
      </c>
      <c r="V39" s="143">
        <f t="shared" si="6"/>
        <v>-1732293</v>
      </c>
      <c r="W39" s="144">
        <f t="shared" si="7"/>
        <v>-1</v>
      </c>
      <c r="X39" s="417"/>
    </row>
    <row r="40" spans="1:24" s="2" customFormat="1" ht="17.100000000000001" customHeight="1" x14ac:dyDescent="0.2">
      <c r="A40" s="207">
        <v>1141</v>
      </c>
      <c r="B40" s="159" t="s">
        <v>118</v>
      </c>
      <c r="C40" s="158">
        <v>356492</v>
      </c>
      <c r="D40" s="347">
        <v>399185</v>
      </c>
      <c r="E40" s="135">
        <v>85613</v>
      </c>
      <c r="F40" s="135">
        <v>87421</v>
      </c>
      <c r="G40" s="136">
        <f t="shared" si="0"/>
        <v>1808</v>
      </c>
      <c r="H40" s="137">
        <f t="shared" si="1"/>
        <v>2.1118288110450516E-2</v>
      </c>
      <c r="I40" s="425"/>
      <c r="J40" s="347">
        <v>168980</v>
      </c>
      <c r="K40" s="324">
        <v>185639</v>
      </c>
      <c r="L40" s="136">
        <f t="shared" si="2"/>
        <v>16659</v>
      </c>
      <c r="M40" s="137">
        <f t="shared" si="3"/>
        <v>9.8585631435672866E-2</v>
      </c>
      <c r="N40" s="425"/>
      <c r="O40" s="347">
        <v>252346</v>
      </c>
      <c r="P40" s="135">
        <v>288820</v>
      </c>
      <c r="Q40" s="136">
        <f t="shared" si="4"/>
        <v>36474</v>
      </c>
      <c r="R40" s="137">
        <f t="shared" si="5"/>
        <v>0.14453964001807043</v>
      </c>
      <c r="S40" s="431"/>
      <c r="T40" s="135">
        <f>D40</f>
        <v>399185</v>
      </c>
      <c r="U40" s="135"/>
      <c r="V40" s="136">
        <f t="shared" si="6"/>
        <v>-399185</v>
      </c>
      <c r="W40" s="137">
        <f t="shared" si="7"/>
        <v>-1</v>
      </c>
      <c r="X40" s="418"/>
    </row>
    <row r="41" spans="1:24" s="2" customFormat="1" ht="17.100000000000001" customHeight="1" x14ac:dyDescent="0.2">
      <c r="A41" s="207">
        <v>1142</v>
      </c>
      <c r="B41" s="159" t="s">
        <v>301</v>
      </c>
      <c r="C41" s="158">
        <v>175795</v>
      </c>
      <c r="D41" s="347">
        <v>147772</v>
      </c>
      <c r="E41" s="135">
        <v>7590</v>
      </c>
      <c r="F41" s="135">
        <v>9568</v>
      </c>
      <c r="G41" s="136">
        <f t="shared" si="0"/>
        <v>1978</v>
      </c>
      <c r="H41" s="137">
        <f t="shared" si="1"/>
        <v>0.26060606060606062</v>
      </c>
      <c r="I41" s="425"/>
      <c r="J41" s="347">
        <v>72300</v>
      </c>
      <c r="K41" s="324">
        <v>106928</v>
      </c>
      <c r="L41" s="136">
        <f t="shared" si="2"/>
        <v>34628</v>
      </c>
      <c r="M41" s="137">
        <f t="shared" si="3"/>
        <v>0.47894882434301522</v>
      </c>
      <c r="N41" s="425"/>
      <c r="O41" s="347">
        <v>95920</v>
      </c>
      <c r="P41" s="135">
        <f>142340+676</f>
        <v>143016</v>
      </c>
      <c r="Q41" s="136">
        <f t="shared" si="4"/>
        <v>47096</v>
      </c>
      <c r="R41" s="137">
        <f t="shared" si="5"/>
        <v>0.49099249374478732</v>
      </c>
      <c r="S41" s="431"/>
      <c r="T41" s="135">
        <f t="shared" ref="T41:T48" si="56">D41</f>
        <v>147772</v>
      </c>
      <c r="U41" s="135"/>
      <c r="V41" s="136">
        <f t="shared" si="6"/>
        <v>-147772</v>
      </c>
      <c r="W41" s="137">
        <f t="shared" si="7"/>
        <v>-1</v>
      </c>
      <c r="X41" s="418"/>
    </row>
    <row r="42" spans="1:24" s="2" customFormat="1" ht="17.100000000000001" customHeight="1" x14ac:dyDescent="0.2">
      <c r="A42" s="207">
        <v>1144</v>
      </c>
      <c r="B42" s="159" t="s">
        <v>13</v>
      </c>
      <c r="C42" s="158"/>
      <c r="D42" s="347"/>
      <c r="E42" s="135"/>
      <c r="F42" s="135"/>
      <c r="G42" s="136">
        <f t="shared" si="0"/>
        <v>0</v>
      </c>
      <c r="H42" s="137" t="str">
        <f t="shared" si="1"/>
        <v>-</v>
      </c>
      <c r="I42" s="425"/>
      <c r="J42" s="347"/>
      <c r="K42" s="324"/>
      <c r="L42" s="136">
        <f t="shared" si="2"/>
        <v>0</v>
      </c>
      <c r="M42" s="137" t="str">
        <f t="shared" si="3"/>
        <v>-</v>
      </c>
      <c r="N42" s="425"/>
      <c r="O42" s="347"/>
      <c r="P42" s="135"/>
      <c r="Q42" s="136">
        <f t="shared" si="4"/>
        <v>0</v>
      </c>
      <c r="R42" s="137" t="str">
        <f t="shared" si="5"/>
        <v>-</v>
      </c>
      <c r="S42" s="431"/>
      <c r="T42" s="135">
        <f t="shared" si="56"/>
        <v>0</v>
      </c>
      <c r="U42" s="135"/>
      <c r="V42" s="136">
        <f t="shared" si="6"/>
        <v>0</v>
      </c>
      <c r="W42" s="137" t="str">
        <f t="shared" si="7"/>
        <v>-</v>
      </c>
      <c r="X42" s="418"/>
    </row>
    <row r="43" spans="1:24" s="2" customFormat="1" ht="17.100000000000001" customHeight="1" x14ac:dyDescent="0.2">
      <c r="A43" s="207">
        <v>1145</v>
      </c>
      <c r="B43" s="159" t="s">
        <v>126</v>
      </c>
      <c r="C43" s="158">
        <v>231921</v>
      </c>
      <c r="D43" s="347">
        <v>287518</v>
      </c>
      <c r="E43" s="135">
        <f>65616-9000</f>
        <v>56616</v>
      </c>
      <c r="F43" s="135">
        <v>59231</v>
      </c>
      <c r="G43" s="136">
        <f t="shared" si="0"/>
        <v>2615</v>
      </c>
      <c r="H43" s="137">
        <f t="shared" si="1"/>
        <v>4.6188356648297305E-2</v>
      </c>
      <c r="I43" s="425"/>
      <c r="J43" s="347">
        <v>134318</v>
      </c>
      <c r="K43" s="324">
        <v>123978</v>
      </c>
      <c r="L43" s="136">
        <f t="shared" si="2"/>
        <v>-10340</v>
      </c>
      <c r="M43" s="137">
        <f t="shared" si="3"/>
        <v>-7.6981491683914299E-2</v>
      </c>
      <c r="N43" s="425"/>
      <c r="O43" s="347">
        <v>203573</v>
      </c>
      <c r="P43" s="135">
        <f>190192+1677</f>
        <v>191869</v>
      </c>
      <c r="Q43" s="136">
        <f t="shared" si="4"/>
        <v>-11704</v>
      </c>
      <c r="R43" s="137">
        <f t="shared" si="5"/>
        <v>-5.749288952857206E-2</v>
      </c>
      <c r="S43" s="431"/>
      <c r="T43" s="135">
        <f t="shared" si="56"/>
        <v>287518</v>
      </c>
      <c r="U43" s="135"/>
      <c r="V43" s="136">
        <f t="shared" si="6"/>
        <v>-287518</v>
      </c>
      <c r="W43" s="137">
        <f t="shared" si="7"/>
        <v>-1</v>
      </c>
      <c r="X43" s="418"/>
    </row>
    <row r="44" spans="1:24" s="2" customFormat="1" ht="17.100000000000001" customHeight="1" x14ac:dyDescent="0.2">
      <c r="A44" s="207">
        <v>1146</v>
      </c>
      <c r="B44" s="159" t="s">
        <v>14</v>
      </c>
      <c r="C44" s="158"/>
      <c r="D44" s="347"/>
      <c r="E44" s="135"/>
      <c r="F44" s="135"/>
      <c r="G44" s="136">
        <f t="shared" si="0"/>
        <v>0</v>
      </c>
      <c r="H44" s="137" t="str">
        <f t="shared" si="1"/>
        <v>-</v>
      </c>
      <c r="I44" s="425"/>
      <c r="J44" s="347"/>
      <c r="K44" s="324"/>
      <c r="L44" s="136">
        <f t="shared" si="2"/>
        <v>0</v>
      </c>
      <c r="M44" s="137" t="str">
        <f t="shared" si="3"/>
        <v>-</v>
      </c>
      <c r="N44" s="425"/>
      <c r="O44" s="347"/>
      <c r="P44" s="135"/>
      <c r="Q44" s="136">
        <f t="shared" si="4"/>
        <v>0</v>
      </c>
      <c r="R44" s="137" t="str">
        <f t="shared" si="5"/>
        <v>-</v>
      </c>
      <c r="S44" s="431"/>
      <c r="T44" s="135">
        <f t="shared" si="56"/>
        <v>0</v>
      </c>
      <c r="U44" s="135"/>
      <c r="V44" s="136">
        <f t="shared" si="6"/>
        <v>0</v>
      </c>
      <c r="W44" s="137" t="str">
        <f t="shared" si="7"/>
        <v>-</v>
      </c>
      <c r="X44" s="418"/>
    </row>
    <row r="45" spans="1:24" s="2" customFormat="1" ht="17.100000000000001" customHeight="1" x14ac:dyDescent="0.2">
      <c r="A45" s="207">
        <v>1147</v>
      </c>
      <c r="B45" s="159" t="s">
        <v>15</v>
      </c>
      <c r="C45" s="158">
        <v>601364</v>
      </c>
      <c r="D45" s="347">
        <v>387226</v>
      </c>
      <c r="E45" s="135">
        <f>73984-7000</f>
        <v>66984</v>
      </c>
      <c r="F45" s="135">
        <v>64439</v>
      </c>
      <c r="G45" s="136">
        <f t="shared" si="0"/>
        <v>-2545</v>
      </c>
      <c r="H45" s="137">
        <f t="shared" si="1"/>
        <v>-3.7994147856204467E-2</v>
      </c>
      <c r="I45" s="425"/>
      <c r="J45" s="347">
        <v>169829</v>
      </c>
      <c r="K45" s="324">
        <v>144458</v>
      </c>
      <c r="L45" s="136">
        <f t="shared" si="2"/>
        <v>-25371</v>
      </c>
      <c r="M45" s="137">
        <f t="shared" si="3"/>
        <v>-0.14939144669049456</v>
      </c>
      <c r="N45" s="425"/>
      <c r="O45" s="347">
        <v>284758</v>
      </c>
      <c r="P45" s="135">
        <f>233773+8480</f>
        <v>242253</v>
      </c>
      <c r="Q45" s="136">
        <f t="shared" si="4"/>
        <v>-42505</v>
      </c>
      <c r="R45" s="137">
        <f t="shared" si="5"/>
        <v>-0.14926709697357055</v>
      </c>
      <c r="S45" s="431"/>
      <c r="T45" s="135">
        <f t="shared" si="56"/>
        <v>387226</v>
      </c>
      <c r="U45" s="135"/>
      <c r="V45" s="136">
        <f t="shared" si="6"/>
        <v>-387226</v>
      </c>
      <c r="W45" s="137">
        <f t="shared" si="7"/>
        <v>-1</v>
      </c>
      <c r="X45" s="418"/>
    </row>
    <row r="46" spans="1:24" s="2" customFormat="1" ht="17.100000000000001" customHeight="1" x14ac:dyDescent="0.2">
      <c r="A46" s="207">
        <v>1148</v>
      </c>
      <c r="B46" s="159" t="s">
        <v>127</v>
      </c>
      <c r="C46" s="158">
        <v>2040</v>
      </c>
      <c r="D46" s="347">
        <v>0</v>
      </c>
      <c r="E46" s="135"/>
      <c r="F46" s="135"/>
      <c r="G46" s="136">
        <f t="shared" si="0"/>
        <v>0</v>
      </c>
      <c r="H46" s="137" t="str">
        <f t="shared" si="1"/>
        <v>-</v>
      </c>
      <c r="I46" s="425"/>
      <c r="J46" s="347"/>
      <c r="K46" s="324"/>
      <c r="L46" s="136">
        <f t="shared" si="2"/>
        <v>0</v>
      </c>
      <c r="M46" s="137" t="str">
        <f t="shared" si="3"/>
        <v>-</v>
      </c>
      <c r="N46" s="425"/>
      <c r="O46" s="347"/>
      <c r="P46" s="135"/>
      <c r="Q46" s="136">
        <f t="shared" si="4"/>
        <v>0</v>
      </c>
      <c r="R46" s="137" t="str">
        <f t="shared" si="5"/>
        <v>-</v>
      </c>
      <c r="S46" s="431"/>
      <c r="T46" s="135">
        <f t="shared" si="56"/>
        <v>0</v>
      </c>
      <c r="U46" s="135"/>
      <c r="V46" s="136">
        <f t="shared" si="6"/>
        <v>0</v>
      </c>
      <c r="W46" s="137" t="str">
        <f t="shared" si="7"/>
        <v>-</v>
      </c>
      <c r="X46" s="418"/>
    </row>
    <row r="47" spans="1:24" s="2" customFormat="1" ht="17.100000000000001" customHeight="1" x14ac:dyDescent="0.2">
      <c r="A47" s="207">
        <v>1149</v>
      </c>
      <c r="B47" s="159" t="s">
        <v>16</v>
      </c>
      <c r="C47" s="158">
        <v>434396</v>
      </c>
      <c r="D47" s="353">
        <v>510592</v>
      </c>
      <c r="E47" s="139">
        <f>224262-3000</f>
        <v>221262</v>
      </c>
      <c r="F47" s="139">
        <v>200466</v>
      </c>
      <c r="G47" s="160">
        <f t="shared" si="0"/>
        <v>-20796</v>
      </c>
      <c r="H47" s="161">
        <f t="shared" si="1"/>
        <v>-9.3988122678092034E-2</v>
      </c>
      <c r="I47" s="426"/>
      <c r="J47" s="353">
        <v>318905</v>
      </c>
      <c r="K47" s="325">
        <v>289371</v>
      </c>
      <c r="L47" s="160">
        <f t="shared" si="2"/>
        <v>-29534</v>
      </c>
      <c r="M47" s="161">
        <f t="shared" si="3"/>
        <v>-9.2610652075069383E-2</v>
      </c>
      <c r="N47" s="426"/>
      <c r="O47" s="353">
        <v>413990</v>
      </c>
      <c r="P47" s="139">
        <f>363022+15050</f>
        <v>378072</v>
      </c>
      <c r="Q47" s="160">
        <f t="shared" si="4"/>
        <v>-35918</v>
      </c>
      <c r="R47" s="161">
        <f t="shared" si="5"/>
        <v>-8.6760549771733614E-2</v>
      </c>
      <c r="S47" s="432"/>
      <c r="T47" s="135">
        <f t="shared" si="56"/>
        <v>510592</v>
      </c>
      <c r="U47" s="139"/>
      <c r="V47" s="160">
        <f t="shared" si="6"/>
        <v>-510592</v>
      </c>
      <c r="W47" s="161">
        <f t="shared" si="7"/>
        <v>-1</v>
      </c>
      <c r="X47" s="419"/>
    </row>
    <row r="48" spans="1:24" s="2" customFormat="1" ht="17.100000000000001" customHeight="1" x14ac:dyDescent="0.2">
      <c r="A48" s="154">
        <v>1150</v>
      </c>
      <c r="B48" s="162" t="s">
        <v>17</v>
      </c>
      <c r="C48" s="163">
        <v>59926</v>
      </c>
      <c r="D48" s="348">
        <v>74002</v>
      </c>
      <c r="E48" s="142">
        <v>19748</v>
      </c>
      <c r="F48" s="142">
        <v>17107</v>
      </c>
      <c r="G48" s="143">
        <f t="shared" si="0"/>
        <v>-2641</v>
      </c>
      <c r="H48" s="144">
        <f t="shared" si="1"/>
        <v>-0.13373506177840794</v>
      </c>
      <c r="I48" s="295"/>
      <c r="J48" s="348">
        <v>38656</v>
      </c>
      <c r="K48" s="324">
        <v>33136</v>
      </c>
      <c r="L48" s="143">
        <f t="shared" si="2"/>
        <v>-5520</v>
      </c>
      <c r="M48" s="144">
        <f t="shared" si="3"/>
        <v>-0.14279801324503311</v>
      </c>
      <c r="N48" s="145"/>
      <c r="O48" s="348">
        <v>57565</v>
      </c>
      <c r="P48" s="142">
        <v>56351</v>
      </c>
      <c r="Q48" s="143">
        <f t="shared" si="4"/>
        <v>-1214</v>
      </c>
      <c r="R48" s="144">
        <f t="shared" si="5"/>
        <v>-2.1089203509076695E-2</v>
      </c>
      <c r="S48" s="145"/>
      <c r="T48" s="135">
        <f t="shared" si="56"/>
        <v>74002</v>
      </c>
      <c r="U48" s="142"/>
      <c r="V48" s="143">
        <f t="shared" si="6"/>
        <v>-74002</v>
      </c>
      <c r="W48" s="144">
        <f t="shared" si="7"/>
        <v>-1</v>
      </c>
      <c r="X48" s="145"/>
    </row>
    <row r="49" spans="1:24" s="2" customFormat="1" ht="17.100000000000001" customHeight="1" x14ac:dyDescent="0.2">
      <c r="A49" s="154">
        <v>1170</v>
      </c>
      <c r="B49" s="165" t="s">
        <v>18</v>
      </c>
      <c r="C49" s="163"/>
      <c r="D49" s="348"/>
      <c r="E49" s="142"/>
      <c r="F49" s="142"/>
      <c r="G49" s="143">
        <f t="shared" si="0"/>
        <v>0</v>
      </c>
      <c r="H49" s="144" t="str">
        <f t="shared" si="1"/>
        <v>-</v>
      </c>
      <c r="I49" s="295"/>
      <c r="J49" s="348"/>
      <c r="K49" s="324"/>
      <c r="L49" s="143">
        <f t="shared" si="2"/>
        <v>0</v>
      </c>
      <c r="M49" s="144" t="str">
        <f t="shared" si="3"/>
        <v>-</v>
      </c>
      <c r="N49" s="145"/>
      <c r="O49" s="348"/>
      <c r="P49" s="142"/>
      <c r="Q49" s="143">
        <f t="shared" si="4"/>
        <v>0</v>
      </c>
      <c r="R49" s="144" t="str">
        <f t="shared" si="5"/>
        <v>-</v>
      </c>
      <c r="S49" s="145"/>
      <c r="T49" s="142"/>
      <c r="U49" s="142"/>
      <c r="V49" s="143">
        <f t="shared" si="6"/>
        <v>0</v>
      </c>
      <c r="W49" s="144" t="str">
        <f t="shared" si="7"/>
        <v>-</v>
      </c>
      <c r="X49" s="145"/>
    </row>
    <row r="50" spans="1:24" s="2" customFormat="1" ht="17.100000000000001" customHeight="1" x14ac:dyDescent="0.2">
      <c r="A50" s="119">
        <v>1200</v>
      </c>
      <c r="B50" s="180" t="s">
        <v>19</v>
      </c>
      <c r="C50" s="179">
        <f t="shared" ref="C50:F50" si="57">SUM(C51+C52)</f>
        <v>2024620</v>
      </c>
      <c r="D50" s="350">
        <f t="shared" si="57"/>
        <v>2128200</v>
      </c>
      <c r="E50" s="179">
        <f t="shared" si="57"/>
        <v>489449</v>
      </c>
      <c r="F50" s="179">
        <f t="shared" si="57"/>
        <v>492246</v>
      </c>
      <c r="G50" s="175">
        <f t="shared" si="0"/>
        <v>2797</v>
      </c>
      <c r="H50" s="176">
        <f t="shared" si="1"/>
        <v>5.7145892626198035E-3</v>
      </c>
      <c r="I50" s="297"/>
      <c r="J50" s="350">
        <f t="shared" ref="J50:K50" si="58">SUM(J51+J52)</f>
        <v>1005523</v>
      </c>
      <c r="K50" s="326">
        <f t="shared" si="58"/>
        <v>1019572</v>
      </c>
      <c r="L50" s="175">
        <f t="shared" si="2"/>
        <v>14049</v>
      </c>
      <c r="M50" s="176">
        <f t="shared" si="3"/>
        <v>1.397183356323028E-2</v>
      </c>
      <c r="N50" s="185"/>
      <c r="O50" s="350">
        <f t="shared" ref="O50:P50" si="59">SUM(O51+O52)</f>
        <v>1494481</v>
      </c>
      <c r="P50" s="179">
        <f t="shared" si="59"/>
        <v>1548833</v>
      </c>
      <c r="Q50" s="175">
        <f t="shared" si="4"/>
        <v>54352</v>
      </c>
      <c r="R50" s="176">
        <f t="shared" si="5"/>
        <v>3.6368478421605899E-2</v>
      </c>
      <c r="S50" s="185"/>
      <c r="T50" s="179">
        <f t="shared" ref="T50:U50" si="60">SUM(T51+T52)</f>
        <v>2128200</v>
      </c>
      <c r="U50" s="179">
        <f t="shared" si="60"/>
        <v>0</v>
      </c>
      <c r="V50" s="175">
        <f t="shared" si="6"/>
        <v>-2128200</v>
      </c>
      <c r="W50" s="176">
        <f t="shared" si="7"/>
        <v>-1</v>
      </c>
      <c r="X50" s="185"/>
    </row>
    <row r="51" spans="1:24" s="2" customFormat="1" ht="17.100000000000001" customHeight="1" x14ac:dyDescent="0.2">
      <c r="A51" s="154">
        <v>1210</v>
      </c>
      <c r="B51" s="162" t="s">
        <v>310</v>
      </c>
      <c r="C51" s="163">
        <v>1826584</v>
      </c>
      <c r="D51" s="348">
        <v>2006500</v>
      </c>
      <c r="E51" s="142">
        <f>454000-11801</f>
        <v>442199</v>
      </c>
      <c r="F51" s="142">
        <v>454434</v>
      </c>
      <c r="G51" s="143">
        <f t="shared" si="0"/>
        <v>12235</v>
      </c>
      <c r="H51" s="144">
        <f t="shared" si="1"/>
        <v>2.7668538372994964E-2</v>
      </c>
      <c r="I51" s="295"/>
      <c r="J51" s="348">
        <v>933546</v>
      </c>
      <c r="K51" s="324">
        <v>944225</v>
      </c>
      <c r="L51" s="143">
        <f t="shared" si="2"/>
        <v>10679</v>
      </c>
      <c r="M51" s="144">
        <f t="shared" si="3"/>
        <v>1.1439179215593018E-2</v>
      </c>
      <c r="N51" s="145"/>
      <c r="O51" s="348">
        <v>1393176</v>
      </c>
      <c r="P51" s="142">
        <f>1319650+93241+24929</f>
        <v>1437820</v>
      </c>
      <c r="Q51" s="143">
        <f t="shared" si="4"/>
        <v>44644</v>
      </c>
      <c r="R51" s="144">
        <f t="shared" si="5"/>
        <v>3.204476677749258E-2</v>
      </c>
      <c r="S51" s="145"/>
      <c r="T51" s="142">
        <f>D51</f>
        <v>2006500</v>
      </c>
      <c r="U51" s="142"/>
      <c r="V51" s="143">
        <f t="shared" si="6"/>
        <v>-2006500</v>
      </c>
      <c r="W51" s="144">
        <f t="shared" si="7"/>
        <v>-1</v>
      </c>
      <c r="X51" s="145"/>
    </row>
    <row r="52" spans="1:24" s="2" customFormat="1" ht="17.100000000000001" customHeight="1" x14ac:dyDescent="0.2">
      <c r="A52" s="154">
        <v>1220</v>
      </c>
      <c r="B52" s="162" t="s">
        <v>311</v>
      </c>
      <c r="C52" s="201">
        <f t="shared" ref="C52:F52" si="61">SUM(C53:C57)</f>
        <v>198036</v>
      </c>
      <c r="D52" s="352">
        <f t="shared" si="61"/>
        <v>121700</v>
      </c>
      <c r="E52" s="201">
        <f t="shared" si="61"/>
        <v>47250</v>
      </c>
      <c r="F52" s="201">
        <f t="shared" si="61"/>
        <v>37812</v>
      </c>
      <c r="G52" s="143">
        <f t="shared" si="0"/>
        <v>-9438</v>
      </c>
      <c r="H52" s="144">
        <f t="shared" si="1"/>
        <v>-0.19974603174603175</v>
      </c>
      <c r="I52" s="441" t="s">
        <v>376</v>
      </c>
      <c r="J52" s="352">
        <f t="shared" ref="J52:K52" si="62">SUM(J53:J57)</f>
        <v>71977</v>
      </c>
      <c r="K52" s="327">
        <f t="shared" si="62"/>
        <v>75347</v>
      </c>
      <c r="L52" s="143">
        <f t="shared" si="2"/>
        <v>3370</v>
      </c>
      <c r="M52" s="144">
        <f t="shared" si="3"/>
        <v>4.6820512108034514E-2</v>
      </c>
      <c r="N52" s="427"/>
      <c r="O52" s="352">
        <f t="shared" ref="O52:P52" si="63">SUM(O53:O57)</f>
        <v>101305</v>
      </c>
      <c r="P52" s="201">
        <f t="shared" si="63"/>
        <v>111013</v>
      </c>
      <c r="Q52" s="143">
        <f t="shared" si="4"/>
        <v>9708</v>
      </c>
      <c r="R52" s="144">
        <f t="shared" si="5"/>
        <v>9.5829425990819797E-2</v>
      </c>
      <c r="S52" s="427"/>
      <c r="T52" s="201">
        <f t="shared" ref="T52:U52" si="64">SUM(T53:T57)</f>
        <v>121700</v>
      </c>
      <c r="U52" s="201">
        <f t="shared" si="64"/>
        <v>0</v>
      </c>
      <c r="V52" s="143">
        <f t="shared" si="6"/>
        <v>-121700</v>
      </c>
      <c r="W52" s="144">
        <f t="shared" si="7"/>
        <v>-1</v>
      </c>
      <c r="X52" s="427"/>
    </row>
    <row r="53" spans="1:24" s="2" customFormat="1" ht="32.450000000000003" customHeight="1" x14ac:dyDescent="0.2">
      <c r="A53" s="207">
        <v>1221</v>
      </c>
      <c r="B53" s="159" t="s">
        <v>20</v>
      </c>
      <c r="C53" s="158">
        <v>194896</v>
      </c>
      <c r="D53" s="347">
        <v>117500</v>
      </c>
      <c r="E53" s="135">
        <v>46250</v>
      </c>
      <c r="F53" s="135">
        <v>36642</v>
      </c>
      <c r="G53" s="136">
        <f t="shared" si="0"/>
        <v>-9608</v>
      </c>
      <c r="H53" s="137">
        <f t="shared" si="1"/>
        <v>-0.20774054054054053</v>
      </c>
      <c r="I53" s="442"/>
      <c r="J53" s="347">
        <v>69977</v>
      </c>
      <c r="K53" s="324">
        <v>73827</v>
      </c>
      <c r="L53" s="136">
        <f t="shared" si="2"/>
        <v>3850</v>
      </c>
      <c r="M53" s="137">
        <f t="shared" si="3"/>
        <v>5.501807736827815E-2</v>
      </c>
      <c r="N53" s="428"/>
      <c r="O53" s="347">
        <v>98305</v>
      </c>
      <c r="P53" s="135">
        <v>108323</v>
      </c>
      <c r="Q53" s="136">
        <f t="shared" si="4"/>
        <v>10018</v>
      </c>
      <c r="R53" s="137">
        <f t="shared" si="5"/>
        <v>0.10190732923045623</v>
      </c>
      <c r="S53" s="428"/>
      <c r="T53" s="135">
        <f>D53</f>
        <v>117500</v>
      </c>
      <c r="U53" s="135"/>
      <c r="V53" s="136">
        <f t="shared" si="6"/>
        <v>-117500</v>
      </c>
      <c r="W53" s="137">
        <f t="shared" si="7"/>
        <v>-1</v>
      </c>
      <c r="X53" s="428"/>
    </row>
    <row r="54" spans="1:24" s="2" customFormat="1" ht="17.100000000000001" customHeight="1" x14ac:dyDescent="0.2">
      <c r="A54" s="207">
        <v>1222</v>
      </c>
      <c r="B54" s="159" t="s">
        <v>21</v>
      </c>
      <c r="C54" s="158"/>
      <c r="D54" s="347"/>
      <c r="E54" s="135"/>
      <c r="F54" s="135"/>
      <c r="G54" s="136">
        <f t="shared" si="0"/>
        <v>0</v>
      </c>
      <c r="H54" s="137" t="str">
        <f t="shared" si="1"/>
        <v>-</v>
      </c>
      <c r="I54" s="442"/>
      <c r="J54" s="347"/>
      <c r="K54" s="324"/>
      <c r="L54" s="136">
        <f t="shared" si="2"/>
        <v>0</v>
      </c>
      <c r="M54" s="137" t="str">
        <f t="shared" si="3"/>
        <v>-</v>
      </c>
      <c r="N54" s="428"/>
      <c r="O54" s="347"/>
      <c r="P54" s="135"/>
      <c r="Q54" s="136">
        <f t="shared" si="4"/>
        <v>0</v>
      </c>
      <c r="R54" s="137" t="str">
        <f t="shared" si="5"/>
        <v>-</v>
      </c>
      <c r="S54" s="428"/>
      <c r="T54" s="135"/>
      <c r="U54" s="135"/>
      <c r="V54" s="136">
        <f t="shared" si="6"/>
        <v>0</v>
      </c>
      <c r="W54" s="137" t="str">
        <f t="shared" si="7"/>
        <v>-</v>
      </c>
      <c r="X54" s="428"/>
    </row>
    <row r="55" spans="1:24" s="2" customFormat="1" ht="17.100000000000001" customHeight="1" x14ac:dyDescent="0.2">
      <c r="A55" s="207">
        <v>1223</v>
      </c>
      <c r="B55" s="48" t="s">
        <v>22</v>
      </c>
      <c r="C55" s="158"/>
      <c r="D55" s="347"/>
      <c r="E55" s="135"/>
      <c r="F55" s="135"/>
      <c r="G55" s="136">
        <f t="shared" si="0"/>
        <v>0</v>
      </c>
      <c r="H55" s="137" t="str">
        <f t="shared" si="1"/>
        <v>-</v>
      </c>
      <c r="I55" s="442"/>
      <c r="J55" s="347"/>
      <c r="K55" s="324"/>
      <c r="L55" s="136">
        <f t="shared" si="2"/>
        <v>0</v>
      </c>
      <c r="M55" s="137" t="str">
        <f t="shared" si="3"/>
        <v>-</v>
      </c>
      <c r="N55" s="428"/>
      <c r="O55" s="347"/>
      <c r="P55" s="135"/>
      <c r="Q55" s="136">
        <f t="shared" si="4"/>
        <v>0</v>
      </c>
      <c r="R55" s="137" t="str">
        <f t="shared" si="5"/>
        <v>-</v>
      </c>
      <c r="S55" s="428"/>
      <c r="T55" s="135"/>
      <c r="U55" s="135"/>
      <c r="V55" s="136">
        <f t="shared" si="6"/>
        <v>0</v>
      </c>
      <c r="W55" s="137" t="str">
        <f t="shared" si="7"/>
        <v>-</v>
      </c>
      <c r="X55" s="428"/>
    </row>
    <row r="56" spans="1:24" s="2" customFormat="1" ht="17.100000000000001" customHeight="1" x14ac:dyDescent="0.2">
      <c r="A56" s="207">
        <v>1227</v>
      </c>
      <c r="B56" s="159" t="s">
        <v>23</v>
      </c>
      <c r="C56" s="158"/>
      <c r="D56" s="347"/>
      <c r="E56" s="135"/>
      <c r="F56" s="135"/>
      <c r="G56" s="136">
        <f t="shared" si="0"/>
        <v>0</v>
      </c>
      <c r="H56" s="137" t="str">
        <f t="shared" si="1"/>
        <v>-</v>
      </c>
      <c r="I56" s="442"/>
      <c r="J56" s="347"/>
      <c r="K56" s="324"/>
      <c r="L56" s="136">
        <f t="shared" si="2"/>
        <v>0</v>
      </c>
      <c r="M56" s="137" t="str">
        <f t="shared" si="3"/>
        <v>-</v>
      </c>
      <c r="N56" s="428"/>
      <c r="O56" s="347"/>
      <c r="P56" s="135"/>
      <c r="Q56" s="136">
        <f t="shared" si="4"/>
        <v>0</v>
      </c>
      <c r="R56" s="137" t="str">
        <f t="shared" si="5"/>
        <v>-</v>
      </c>
      <c r="S56" s="428"/>
      <c r="T56" s="135"/>
      <c r="U56" s="135"/>
      <c r="V56" s="136">
        <f t="shared" si="6"/>
        <v>0</v>
      </c>
      <c r="W56" s="137" t="str">
        <f t="shared" si="7"/>
        <v>-</v>
      </c>
      <c r="X56" s="428"/>
    </row>
    <row r="57" spans="1:24" s="2" customFormat="1" ht="35.450000000000003" customHeight="1" x14ac:dyDescent="0.2">
      <c r="A57" s="207">
        <v>1228</v>
      </c>
      <c r="B57" s="159" t="s">
        <v>200</v>
      </c>
      <c r="C57" s="158">
        <v>3140</v>
      </c>
      <c r="D57" s="347">
        <v>4200</v>
      </c>
      <c r="E57" s="135">
        <v>1000</v>
      </c>
      <c r="F57" s="135">
        <v>1170</v>
      </c>
      <c r="G57" s="136">
        <f t="shared" si="0"/>
        <v>170</v>
      </c>
      <c r="H57" s="137">
        <f t="shared" si="1"/>
        <v>0.17</v>
      </c>
      <c r="I57" s="443"/>
      <c r="J57" s="347">
        <v>2000</v>
      </c>
      <c r="K57" s="324">
        <v>1520</v>
      </c>
      <c r="L57" s="136">
        <f t="shared" si="2"/>
        <v>-480</v>
      </c>
      <c r="M57" s="137">
        <f t="shared" si="3"/>
        <v>-0.24</v>
      </c>
      <c r="N57" s="429"/>
      <c r="O57" s="347">
        <v>3000</v>
      </c>
      <c r="P57" s="135">
        <f>1170+1520</f>
        <v>2690</v>
      </c>
      <c r="Q57" s="136">
        <f t="shared" si="4"/>
        <v>-310</v>
      </c>
      <c r="R57" s="137">
        <f t="shared" si="5"/>
        <v>-0.10333333333333333</v>
      </c>
      <c r="S57" s="429"/>
      <c r="T57" s="135">
        <f>D57</f>
        <v>4200</v>
      </c>
      <c r="U57" s="135"/>
      <c r="V57" s="136">
        <f t="shared" si="6"/>
        <v>-4200</v>
      </c>
      <c r="W57" s="137">
        <f t="shared" si="7"/>
        <v>-1</v>
      </c>
      <c r="X57" s="429"/>
    </row>
    <row r="58" spans="1:24" s="2" customFormat="1" ht="17.100000000000001" customHeight="1" x14ac:dyDescent="0.2">
      <c r="A58" s="202">
        <v>2000</v>
      </c>
      <c r="B58" s="212" t="s">
        <v>24</v>
      </c>
      <c r="C58" s="203">
        <f>C59+C66+C103+C129+C139</f>
        <v>1700256</v>
      </c>
      <c r="D58" s="345">
        <f>D59+D66+D103+D129+D139</f>
        <v>1771707</v>
      </c>
      <c r="E58" s="203">
        <f>E59+E66+E103+E129+E139</f>
        <v>548704</v>
      </c>
      <c r="F58" s="203">
        <f>F59+F66+F103+F129+F139</f>
        <v>478928</v>
      </c>
      <c r="G58" s="204">
        <f>F58-E58</f>
        <v>-69776</v>
      </c>
      <c r="H58" s="205">
        <f>IFERROR(G58/ABS(E58), "-")</f>
        <v>-0.12716510176707296</v>
      </c>
      <c r="I58" s="299"/>
      <c r="J58" s="345">
        <f>J59+J66+J103+J129+J139</f>
        <v>919494</v>
      </c>
      <c r="K58" s="322">
        <f>K59+K66+K103+K129+K139</f>
        <v>878512</v>
      </c>
      <c r="L58" s="204">
        <f t="shared" si="2"/>
        <v>-40982</v>
      </c>
      <c r="M58" s="205">
        <f t="shared" si="3"/>
        <v>-4.4570165765083838E-2</v>
      </c>
      <c r="N58" s="203"/>
      <c r="O58" s="345">
        <f>O59+O66+O103+O129+O139</f>
        <v>1313958</v>
      </c>
      <c r="P58" s="203">
        <f>P59+P66+P103+P129+P139</f>
        <v>1346622</v>
      </c>
      <c r="Q58" s="204">
        <f>P58-O58</f>
        <v>32664</v>
      </c>
      <c r="R58" s="205">
        <f t="shared" si="5"/>
        <v>2.4859242076230748E-2</v>
      </c>
      <c r="S58" s="203"/>
      <c r="T58" s="203">
        <f>T59+T66+T103+T129+T139</f>
        <v>1771707</v>
      </c>
      <c r="U58" s="203">
        <f>U59+U66+U103+U129+U139</f>
        <v>0</v>
      </c>
      <c r="V58" s="204">
        <f>U58-T58</f>
        <v>-1771707</v>
      </c>
      <c r="W58" s="205">
        <f t="shared" si="7"/>
        <v>-1</v>
      </c>
      <c r="X58" s="206"/>
    </row>
    <row r="59" spans="1:24" s="2" customFormat="1" ht="17.100000000000001" customHeight="1" x14ac:dyDescent="0.2">
      <c r="A59" s="119">
        <v>2100</v>
      </c>
      <c r="B59" s="178" t="s">
        <v>128</v>
      </c>
      <c r="C59" s="174">
        <f>C60+C63</f>
        <v>1449</v>
      </c>
      <c r="D59" s="346">
        <f>D60+D63</f>
        <v>2000</v>
      </c>
      <c r="E59" s="174">
        <f>E60+E63</f>
        <v>0</v>
      </c>
      <c r="F59" s="174">
        <f>F60+F63</f>
        <v>1512</v>
      </c>
      <c r="G59" s="175">
        <f>F59-E59</f>
        <v>1512</v>
      </c>
      <c r="H59" s="176" t="str">
        <f t="shared" si="1"/>
        <v>-</v>
      </c>
      <c r="I59" s="297"/>
      <c r="J59" s="346">
        <f>J60+J63</f>
        <v>1550</v>
      </c>
      <c r="K59" s="323">
        <f>K60+K63</f>
        <v>1607</v>
      </c>
      <c r="L59" s="175">
        <f t="shared" si="2"/>
        <v>57</v>
      </c>
      <c r="M59" s="176">
        <f t="shared" si="3"/>
        <v>3.6774193548387096E-2</v>
      </c>
      <c r="N59" s="185"/>
      <c r="O59" s="346">
        <f>O60+O63</f>
        <v>2000</v>
      </c>
      <c r="P59" s="174">
        <f>P60+P63</f>
        <v>1631</v>
      </c>
      <c r="Q59" s="175">
        <f t="shared" si="4"/>
        <v>-369</v>
      </c>
      <c r="R59" s="176">
        <f t="shared" si="5"/>
        <v>-0.1845</v>
      </c>
      <c r="S59" s="185"/>
      <c r="T59" s="174">
        <f>T60+T63</f>
        <v>2000</v>
      </c>
      <c r="U59" s="174">
        <f>U60+U63</f>
        <v>0</v>
      </c>
      <c r="V59" s="175">
        <f t="shared" si="6"/>
        <v>-2000</v>
      </c>
      <c r="W59" s="176">
        <f t="shared" si="7"/>
        <v>-1</v>
      </c>
      <c r="X59" s="185"/>
    </row>
    <row r="60" spans="1:24" s="208" customFormat="1" ht="17.100000000000001" customHeight="1" x14ac:dyDescent="0.2">
      <c r="A60" s="154">
        <v>2110</v>
      </c>
      <c r="B60" s="141" t="s">
        <v>25</v>
      </c>
      <c r="C60" s="211">
        <f>C61+C62</f>
        <v>24</v>
      </c>
      <c r="D60" s="354">
        <f t="shared" ref="D60:K60" si="65">D61+D62</f>
        <v>0</v>
      </c>
      <c r="E60" s="211">
        <f t="shared" si="65"/>
        <v>0</v>
      </c>
      <c r="F60" s="211">
        <f t="shared" si="65"/>
        <v>0</v>
      </c>
      <c r="G60" s="211">
        <f t="shared" si="65"/>
        <v>0</v>
      </c>
      <c r="H60" s="211">
        <f t="shared" si="65"/>
        <v>0</v>
      </c>
      <c r="I60" s="300">
        <f t="shared" si="65"/>
        <v>0</v>
      </c>
      <c r="J60" s="354">
        <f t="shared" si="65"/>
        <v>0</v>
      </c>
      <c r="K60" s="328">
        <f t="shared" si="65"/>
        <v>95</v>
      </c>
      <c r="L60" s="211">
        <f t="shared" ref="L60" si="66">L61+L62</f>
        <v>95</v>
      </c>
      <c r="M60" s="176" t="str">
        <f t="shared" si="3"/>
        <v>-</v>
      </c>
      <c r="N60" s="211">
        <f t="shared" ref="N60" si="67">N61+N62</f>
        <v>0</v>
      </c>
      <c r="O60" s="354">
        <f t="shared" ref="O60" si="68">O61+O62</f>
        <v>0</v>
      </c>
      <c r="P60" s="211">
        <f t="shared" ref="P60" si="69">P61+P62</f>
        <v>119</v>
      </c>
      <c r="Q60" s="143">
        <f t="shared" si="4"/>
        <v>119</v>
      </c>
      <c r="R60" s="144" t="str">
        <f t="shared" si="5"/>
        <v>-</v>
      </c>
      <c r="S60" s="211">
        <f t="shared" ref="S60" si="70">S61+S62</f>
        <v>0</v>
      </c>
      <c r="T60" s="211">
        <f t="shared" ref="T60" si="71">T61+T62</f>
        <v>0</v>
      </c>
      <c r="U60" s="211"/>
      <c r="V60" s="143">
        <f t="shared" si="6"/>
        <v>0</v>
      </c>
      <c r="W60" s="144" t="str">
        <f t="shared" si="7"/>
        <v>-</v>
      </c>
      <c r="X60" s="182"/>
    </row>
    <row r="61" spans="1:24" s="208" customFormat="1" ht="17.100000000000001" customHeight="1" x14ac:dyDescent="0.2">
      <c r="A61" s="207">
        <v>2111</v>
      </c>
      <c r="B61" s="70" t="s">
        <v>331</v>
      </c>
      <c r="C61" s="211"/>
      <c r="D61" s="354"/>
      <c r="E61" s="211"/>
      <c r="F61" s="211"/>
      <c r="G61" s="143"/>
      <c r="H61" s="144"/>
      <c r="I61" s="291"/>
      <c r="J61" s="354"/>
      <c r="K61" s="328">
        <v>64</v>
      </c>
      <c r="L61" s="136">
        <f t="shared" ref="L61:L62" si="72">K61-J61</f>
        <v>64</v>
      </c>
      <c r="M61" s="137" t="str">
        <f t="shared" ref="M61:M62" si="73">IFERROR(L61/ABS(J61), "-")</f>
        <v>-</v>
      </c>
      <c r="N61" s="182"/>
      <c r="O61" s="354">
        <v>0</v>
      </c>
      <c r="P61" s="211">
        <v>88</v>
      </c>
      <c r="Q61" s="136">
        <f t="shared" ref="Q61" si="74">P61-O61</f>
        <v>88</v>
      </c>
      <c r="R61" s="137" t="str">
        <f t="shared" ref="R61" si="75">IFERROR(Q61/ABS(O61), "-")</f>
        <v>-</v>
      </c>
      <c r="S61" s="182"/>
      <c r="T61" s="211"/>
      <c r="U61" s="211"/>
      <c r="V61" s="143"/>
      <c r="W61" s="144"/>
      <c r="X61" s="182"/>
    </row>
    <row r="62" spans="1:24" s="208" customFormat="1" ht="17.100000000000001" customHeight="1" x14ac:dyDescent="0.2">
      <c r="A62" s="207">
        <v>2112</v>
      </c>
      <c r="B62" s="70" t="s">
        <v>332</v>
      </c>
      <c r="C62" s="211">
        <v>24</v>
      </c>
      <c r="D62" s="354"/>
      <c r="E62" s="211"/>
      <c r="F62" s="211"/>
      <c r="G62" s="143"/>
      <c r="H62" s="144"/>
      <c r="I62" s="291"/>
      <c r="J62" s="354"/>
      <c r="K62" s="328">
        <v>31</v>
      </c>
      <c r="L62" s="136">
        <f t="shared" si="72"/>
        <v>31</v>
      </c>
      <c r="M62" s="137" t="str">
        <f t="shared" si="73"/>
        <v>-</v>
      </c>
      <c r="N62" s="182"/>
      <c r="O62" s="354"/>
      <c r="P62" s="211">
        <v>31</v>
      </c>
      <c r="Q62" s="136">
        <f t="shared" ref="Q62:Q63" si="76">P62-O62</f>
        <v>31</v>
      </c>
      <c r="R62" s="137" t="str">
        <f t="shared" ref="R62:R63" si="77">IFERROR(Q62/ABS(O62), "-")</f>
        <v>-</v>
      </c>
      <c r="S62" s="182"/>
      <c r="T62" s="211"/>
      <c r="U62" s="211"/>
      <c r="V62" s="143"/>
      <c r="W62" s="144"/>
      <c r="X62" s="182"/>
    </row>
    <row r="63" spans="1:24" s="208" customFormat="1" ht="17.100000000000001" customHeight="1" x14ac:dyDescent="0.2">
      <c r="A63" s="154">
        <v>2120</v>
      </c>
      <c r="B63" s="141" t="s">
        <v>26</v>
      </c>
      <c r="C63" s="211">
        <f>C64+C65</f>
        <v>1425</v>
      </c>
      <c r="D63" s="354">
        <f t="shared" ref="D63:J63" si="78">D64+D65</f>
        <v>2000</v>
      </c>
      <c r="E63" s="211">
        <f t="shared" si="78"/>
        <v>0</v>
      </c>
      <c r="F63" s="211">
        <f t="shared" si="78"/>
        <v>1512</v>
      </c>
      <c r="G63" s="211">
        <f t="shared" si="78"/>
        <v>0</v>
      </c>
      <c r="H63" s="211">
        <f t="shared" si="78"/>
        <v>0</v>
      </c>
      <c r="I63" s="300">
        <f t="shared" si="78"/>
        <v>0</v>
      </c>
      <c r="J63" s="354">
        <f t="shared" si="78"/>
        <v>1550</v>
      </c>
      <c r="K63" s="328">
        <f t="shared" ref="K63" si="79">K64+K65</f>
        <v>1512</v>
      </c>
      <c r="L63" s="211">
        <f t="shared" ref="L63" si="80">L64+L65</f>
        <v>-38</v>
      </c>
      <c r="M63" s="211">
        <f t="shared" ref="M63" si="81">M64+M65</f>
        <v>-6.1538461538461542E-2</v>
      </c>
      <c r="N63" s="211">
        <f t="shared" ref="N63" si="82">N64+N65</f>
        <v>0</v>
      </c>
      <c r="O63" s="354">
        <f t="shared" ref="O63" si="83">O64+O65</f>
        <v>2000</v>
      </c>
      <c r="P63" s="211">
        <f t="shared" ref="P63" si="84">P64+P65</f>
        <v>1512</v>
      </c>
      <c r="Q63" s="143">
        <f t="shared" si="76"/>
        <v>-488</v>
      </c>
      <c r="R63" s="144">
        <f t="shared" si="77"/>
        <v>-0.24399999999999999</v>
      </c>
      <c r="S63" s="211">
        <f t="shared" ref="S63" si="85">S64+S65</f>
        <v>0</v>
      </c>
      <c r="T63" s="211">
        <f t="shared" ref="T63" si="86">T64+T65</f>
        <v>2000</v>
      </c>
      <c r="U63" s="211"/>
      <c r="V63" s="143">
        <f t="shared" si="6"/>
        <v>-2000</v>
      </c>
      <c r="W63" s="144">
        <f t="shared" si="7"/>
        <v>-1</v>
      </c>
      <c r="X63" s="182"/>
    </row>
    <row r="64" spans="1:24" s="208" customFormat="1" ht="17.100000000000001" customHeight="1" x14ac:dyDescent="0.2">
      <c r="A64" s="207">
        <v>2121</v>
      </c>
      <c r="B64" s="70" t="s">
        <v>331</v>
      </c>
      <c r="C64" s="211">
        <v>555</v>
      </c>
      <c r="D64" s="354">
        <v>500</v>
      </c>
      <c r="E64" s="211"/>
      <c r="F64" s="211">
        <v>240</v>
      </c>
      <c r="G64" s="143"/>
      <c r="H64" s="144"/>
      <c r="I64" s="291"/>
      <c r="J64" s="354">
        <v>250</v>
      </c>
      <c r="K64" s="328">
        <v>240</v>
      </c>
      <c r="L64" s="136">
        <f t="shared" ref="L64:L65" si="87">K64-J64</f>
        <v>-10</v>
      </c>
      <c r="M64" s="137">
        <f t="shared" ref="M64:M65" si="88">IFERROR(L64/ABS(J64), "-")</f>
        <v>-0.04</v>
      </c>
      <c r="N64" s="182"/>
      <c r="O64" s="354">
        <v>500</v>
      </c>
      <c r="P64" s="211">
        <v>240</v>
      </c>
      <c r="Q64" s="136">
        <f t="shared" ref="Q64" si="89">P64-O64</f>
        <v>-260</v>
      </c>
      <c r="R64" s="137">
        <f t="shared" ref="R64" si="90">IFERROR(Q64/ABS(O64), "-")</f>
        <v>-0.52</v>
      </c>
      <c r="S64" s="182"/>
      <c r="T64" s="211">
        <f>D64</f>
        <v>500</v>
      </c>
      <c r="U64" s="211"/>
      <c r="V64" s="143"/>
      <c r="W64" s="144"/>
      <c r="X64" s="182"/>
    </row>
    <row r="65" spans="1:24" s="208" customFormat="1" ht="17.100000000000001" customHeight="1" x14ac:dyDescent="0.2">
      <c r="A65" s="207">
        <v>2122</v>
      </c>
      <c r="B65" s="70" t="s">
        <v>332</v>
      </c>
      <c r="C65" s="211">
        <v>870</v>
      </c>
      <c r="D65" s="354">
        <v>1500</v>
      </c>
      <c r="E65" s="211"/>
      <c r="F65" s="211">
        <v>1272</v>
      </c>
      <c r="G65" s="143"/>
      <c r="H65" s="144"/>
      <c r="I65" s="291"/>
      <c r="J65" s="354">
        <v>1300</v>
      </c>
      <c r="K65" s="328">
        <v>1272</v>
      </c>
      <c r="L65" s="136">
        <f t="shared" si="87"/>
        <v>-28</v>
      </c>
      <c r="M65" s="137">
        <f t="shared" si="88"/>
        <v>-2.1538461538461538E-2</v>
      </c>
      <c r="N65" s="182"/>
      <c r="O65" s="354">
        <v>1500</v>
      </c>
      <c r="P65" s="211">
        <v>1272</v>
      </c>
      <c r="Q65" s="143"/>
      <c r="R65" s="144"/>
      <c r="S65" s="182"/>
      <c r="T65" s="211">
        <f>D65</f>
        <v>1500</v>
      </c>
      <c r="U65" s="211"/>
      <c r="V65" s="143"/>
      <c r="W65" s="144"/>
      <c r="X65" s="182"/>
    </row>
    <row r="66" spans="1:24" s="2" customFormat="1" ht="17.100000000000001" customHeight="1" x14ac:dyDescent="0.2">
      <c r="A66" s="119">
        <v>2200</v>
      </c>
      <c r="B66" s="180" t="s">
        <v>27</v>
      </c>
      <c r="C66" s="179">
        <f>C67+C68+C74+C82+C89+C90+C96+C102</f>
        <v>723168</v>
      </c>
      <c r="D66" s="350">
        <f t="shared" ref="D66:F66" si="91">D67+D68+D74+D82+D89+D90+D96+D102</f>
        <v>892655</v>
      </c>
      <c r="E66" s="179">
        <f t="shared" si="91"/>
        <v>337166</v>
      </c>
      <c r="F66" s="179">
        <f t="shared" si="91"/>
        <v>270494</v>
      </c>
      <c r="G66" s="175">
        <f t="shared" si="0"/>
        <v>-66672</v>
      </c>
      <c r="H66" s="176">
        <f t="shared" si="1"/>
        <v>-0.19774235836353607</v>
      </c>
      <c r="I66" s="297"/>
      <c r="J66" s="350">
        <f t="shared" ref="J66:K66" si="92">J67+J68+J74+J82+J89+J90+J96+J102</f>
        <v>485509</v>
      </c>
      <c r="K66" s="326">
        <f t="shared" si="92"/>
        <v>454887</v>
      </c>
      <c r="L66" s="175">
        <f t="shared" si="2"/>
        <v>-30622</v>
      </c>
      <c r="M66" s="176">
        <f t="shared" si="3"/>
        <v>-6.307195129235503E-2</v>
      </c>
      <c r="N66" s="185"/>
      <c r="O66" s="350">
        <f t="shared" ref="O66:P66" si="93">O67+O68+O74+O82+O89+O90+O96+O102</f>
        <v>651498</v>
      </c>
      <c r="P66" s="179">
        <f t="shared" si="93"/>
        <v>624933</v>
      </c>
      <c r="Q66" s="175">
        <f t="shared" si="4"/>
        <v>-26565</v>
      </c>
      <c r="R66" s="176">
        <f t="shared" si="5"/>
        <v>-4.0775259478923957E-2</v>
      </c>
      <c r="S66" s="185"/>
      <c r="T66" s="179">
        <f t="shared" ref="T66:U66" si="94">T67+T68+T74+T82+T89+T90+T96+T102</f>
        <v>892655</v>
      </c>
      <c r="U66" s="179">
        <f t="shared" si="94"/>
        <v>0</v>
      </c>
      <c r="V66" s="175">
        <f t="shared" si="6"/>
        <v>-892655</v>
      </c>
      <c r="W66" s="176">
        <f t="shared" si="7"/>
        <v>-1</v>
      </c>
      <c r="X66" s="185"/>
    </row>
    <row r="67" spans="1:24" s="208" customFormat="1" ht="17.100000000000001" customHeight="1" x14ac:dyDescent="0.2">
      <c r="A67" s="154">
        <v>2210</v>
      </c>
      <c r="B67" s="165" t="s">
        <v>235</v>
      </c>
      <c r="C67" s="163">
        <v>14239</v>
      </c>
      <c r="D67" s="355">
        <v>14240</v>
      </c>
      <c r="E67" s="163">
        <v>3639</v>
      </c>
      <c r="F67" s="163">
        <v>3498</v>
      </c>
      <c r="G67" s="143">
        <f t="shared" ref="G67:G121" si="95">F67-E67</f>
        <v>-141</v>
      </c>
      <c r="H67" s="144">
        <f t="shared" ref="H67:H121" si="96">IFERROR(G67/ABS(E67), "-")</f>
        <v>-3.8746908491343775E-2</v>
      </c>
      <c r="I67" s="301"/>
      <c r="J67" s="355">
        <v>7447</v>
      </c>
      <c r="K67" s="329">
        <v>7032</v>
      </c>
      <c r="L67" s="143">
        <f t="shared" si="2"/>
        <v>-415</v>
      </c>
      <c r="M67" s="144">
        <f t="shared" si="3"/>
        <v>-5.5727138445011412E-2</v>
      </c>
      <c r="N67" s="213"/>
      <c r="O67" s="355">
        <v>10850</v>
      </c>
      <c r="P67" s="163">
        <v>10963</v>
      </c>
      <c r="Q67" s="143">
        <f t="shared" si="4"/>
        <v>113</v>
      </c>
      <c r="R67" s="144">
        <f t="shared" si="5"/>
        <v>1.0414746543778802E-2</v>
      </c>
      <c r="S67" s="213"/>
      <c r="T67" s="163">
        <f>D67</f>
        <v>14240</v>
      </c>
      <c r="U67" s="163">
        <v>0</v>
      </c>
      <c r="V67" s="143">
        <f t="shared" si="6"/>
        <v>-14240</v>
      </c>
      <c r="W67" s="144">
        <f t="shared" si="7"/>
        <v>-1</v>
      </c>
      <c r="X67" s="213"/>
    </row>
    <row r="68" spans="1:24" s="208" customFormat="1" ht="17.100000000000001" customHeight="1" x14ac:dyDescent="0.2">
      <c r="A68" s="154">
        <v>2220</v>
      </c>
      <c r="B68" s="162" t="s">
        <v>28</v>
      </c>
      <c r="C68" s="201">
        <f>SUM(C69:C73)</f>
        <v>373600</v>
      </c>
      <c r="D68" s="352">
        <f t="shared" ref="D68:F68" si="97">SUM(D69:D73)</f>
        <v>532399</v>
      </c>
      <c r="E68" s="201">
        <f t="shared" si="97"/>
        <v>215857</v>
      </c>
      <c r="F68" s="201">
        <f t="shared" si="97"/>
        <v>180633</v>
      </c>
      <c r="G68" s="143">
        <f t="shared" si="95"/>
        <v>-35224</v>
      </c>
      <c r="H68" s="144">
        <f t="shared" si="96"/>
        <v>-0.16318210667247299</v>
      </c>
      <c r="I68" s="424" t="s">
        <v>377</v>
      </c>
      <c r="J68" s="352">
        <f t="shared" ref="J68:K68" si="98">SUM(J69:J73)</f>
        <v>293746</v>
      </c>
      <c r="K68" s="327">
        <f t="shared" si="98"/>
        <v>273900</v>
      </c>
      <c r="L68" s="143">
        <f t="shared" si="2"/>
        <v>-19846</v>
      </c>
      <c r="M68" s="144">
        <f t="shared" si="3"/>
        <v>-6.7561771053903708E-2</v>
      </c>
      <c r="N68" s="417"/>
      <c r="O68" s="352">
        <f t="shared" ref="O68:P68" si="99">SUM(O69:O73)</f>
        <v>363697</v>
      </c>
      <c r="P68" s="201">
        <f t="shared" si="99"/>
        <v>337691</v>
      </c>
      <c r="Q68" s="143">
        <f t="shared" si="4"/>
        <v>-26006</v>
      </c>
      <c r="R68" s="144">
        <f t="shared" si="5"/>
        <v>-7.1504576611849974E-2</v>
      </c>
      <c r="S68" s="417"/>
      <c r="T68" s="201">
        <f t="shared" ref="T68:U68" si="100">SUM(T69:T73)</f>
        <v>532399</v>
      </c>
      <c r="U68" s="201">
        <f t="shared" si="100"/>
        <v>0</v>
      </c>
      <c r="V68" s="143">
        <f t="shared" si="6"/>
        <v>-532399</v>
      </c>
      <c r="W68" s="144">
        <f t="shared" si="7"/>
        <v>-1</v>
      </c>
      <c r="X68" s="417"/>
    </row>
    <row r="69" spans="1:24" s="2" customFormat="1" ht="17.100000000000001" customHeight="1" x14ac:dyDescent="0.2">
      <c r="A69" s="207">
        <v>2221</v>
      </c>
      <c r="B69" s="159" t="s">
        <v>236</v>
      </c>
      <c r="C69" s="158">
        <v>130613</v>
      </c>
      <c r="D69" s="347">
        <v>301417</v>
      </c>
      <c r="E69" s="135">
        <v>146959</v>
      </c>
      <c r="F69" s="135">
        <v>119257</v>
      </c>
      <c r="G69" s="136">
        <f t="shared" si="95"/>
        <v>-27702</v>
      </c>
      <c r="H69" s="137">
        <f t="shared" si="96"/>
        <v>-0.18850155485543588</v>
      </c>
      <c r="I69" s="425"/>
      <c r="J69" s="347">
        <v>170000</v>
      </c>
      <c r="K69" s="324">
        <v>154182</v>
      </c>
      <c r="L69" s="136">
        <f t="shared" si="2"/>
        <v>-15818</v>
      </c>
      <c r="M69" s="137">
        <f t="shared" si="3"/>
        <v>-9.3047058823529413E-2</v>
      </c>
      <c r="N69" s="418"/>
      <c r="O69" s="347">
        <v>193000</v>
      </c>
      <c r="P69" s="135">
        <v>169698</v>
      </c>
      <c r="Q69" s="136">
        <f t="shared" si="4"/>
        <v>-23302</v>
      </c>
      <c r="R69" s="137">
        <f t="shared" si="5"/>
        <v>-0.12073575129533679</v>
      </c>
      <c r="S69" s="418"/>
      <c r="T69" s="135">
        <f>D69</f>
        <v>301417</v>
      </c>
      <c r="U69" s="135"/>
      <c r="V69" s="136">
        <f t="shared" si="6"/>
        <v>-301417</v>
      </c>
      <c r="W69" s="137">
        <f t="shared" si="7"/>
        <v>-1</v>
      </c>
      <c r="X69" s="418"/>
    </row>
    <row r="70" spans="1:24" s="4" customFormat="1" ht="17.100000000000001" customHeight="1" x14ac:dyDescent="0.2">
      <c r="A70" s="207">
        <v>2222</v>
      </c>
      <c r="B70" s="159" t="s">
        <v>302</v>
      </c>
      <c r="C70" s="158">
        <v>47619</v>
      </c>
      <c r="D70" s="347">
        <v>64412</v>
      </c>
      <c r="E70" s="135">
        <v>15490</v>
      </c>
      <c r="F70" s="135">
        <v>14709</v>
      </c>
      <c r="G70" s="136">
        <f t="shared" si="95"/>
        <v>-781</v>
      </c>
      <c r="H70" s="137">
        <f t="shared" si="96"/>
        <v>-5.0419625564880569E-2</v>
      </c>
      <c r="I70" s="425"/>
      <c r="J70" s="347">
        <v>33239</v>
      </c>
      <c r="K70" s="324">
        <f>29985+2206</f>
        <v>32191</v>
      </c>
      <c r="L70" s="136">
        <f t="shared" ref="L70:L134" si="101">K70-J70</f>
        <v>-1048</v>
      </c>
      <c r="M70" s="137">
        <f t="shared" ref="M70:M134" si="102">IFERROR(L70/ABS(J70), "-")</f>
        <v>-3.152922771443184E-2</v>
      </c>
      <c r="N70" s="418"/>
      <c r="O70" s="347">
        <v>49697</v>
      </c>
      <c r="P70" s="135">
        <v>47160</v>
      </c>
      <c r="Q70" s="136">
        <f t="shared" ref="Q70:Q134" si="103">P70-O70</f>
        <v>-2537</v>
      </c>
      <c r="R70" s="137">
        <f t="shared" ref="R70:R134" si="104">IFERROR(Q70/ABS(O70), "-")</f>
        <v>-5.104935911624444E-2</v>
      </c>
      <c r="S70" s="418"/>
      <c r="T70" s="135">
        <f t="shared" ref="T70:T72" si="105">D70</f>
        <v>64412</v>
      </c>
      <c r="U70" s="135"/>
      <c r="V70" s="136">
        <f t="shared" ref="V70:V134" si="106">U70-T70</f>
        <v>-64412</v>
      </c>
      <c r="W70" s="137">
        <f t="shared" ref="W70:W134" si="107">IFERROR(V70/ABS(T70), "-")</f>
        <v>-1</v>
      </c>
      <c r="X70" s="418"/>
    </row>
    <row r="71" spans="1:24" s="2" customFormat="1" ht="17.100000000000001" customHeight="1" x14ac:dyDescent="0.2">
      <c r="A71" s="207">
        <v>2223</v>
      </c>
      <c r="B71" s="159" t="s">
        <v>29</v>
      </c>
      <c r="C71" s="158">
        <v>166326</v>
      </c>
      <c r="D71" s="347">
        <v>135846</v>
      </c>
      <c r="E71" s="135">
        <v>45408</v>
      </c>
      <c r="F71" s="135">
        <v>39941</v>
      </c>
      <c r="G71" s="136">
        <f t="shared" si="95"/>
        <v>-5467</v>
      </c>
      <c r="H71" s="137">
        <f t="shared" si="96"/>
        <v>-0.12039728682170543</v>
      </c>
      <c r="I71" s="425"/>
      <c r="J71" s="347">
        <v>76007</v>
      </c>
      <c r="K71" s="324">
        <v>74208</v>
      </c>
      <c r="L71" s="136">
        <f t="shared" si="101"/>
        <v>-1799</v>
      </c>
      <c r="M71" s="137">
        <f t="shared" si="102"/>
        <v>-2.3668872603839122E-2</v>
      </c>
      <c r="N71" s="418"/>
      <c r="O71" s="347">
        <v>100000</v>
      </c>
      <c r="P71" s="135">
        <v>100528</v>
      </c>
      <c r="Q71" s="136">
        <f t="shared" si="103"/>
        <v>528</v>
      </c>
      <c r="R71" s="137">
        <f t="shared" si="104"/>
        <v>5.28E-3</v>
      </c>
      <c r="S71" s="418"/>
      <c r="T71" s="135">
        <f t="shared" si="105"/>
        <v>135846</v>
      </c>
      <c r="U71" s="135"/>
      <c r="V71" s="136">
        <f t="shared" si="106"/>
        <v>-135846</v>
      </c>
      <c r="W71" s="137">
        <f t="shared" si="107"/>
        <v>-1</v>
      </c>
      <c r="X71" s="418"/>
    </row>
    <row r="72" spans="1:24" s="2" customFormat="1" ht="30.6" customHeight="1" x14ac:dyDescent="0.2">
      <c r="A72" s="207">
        <v>2224</v>
      </c>
      <c r="B72" s="159" t="s">
        <v>129</v>
      </c>
      <c r="C72" s="158">
        <v>29042</v>
      </c>
      <c r="D72" s="347">
        <v>30724</v>
      </c>
      <c r="E72" s="135">
        <v>8000</v>
      </c>
      <c r="F72" s="135">
        <v>6726</v>
      </c>
      <c r="G72" s="136">
        <f t="shared" si="95"/>
        <v>-1274</v>
      </c>
      <c r="H72" s="137">
        <f t="shared" si="96"/>
        <v>-0.15925</v>
      </c>
      <c r="I72" s="425"/>
      <c r="J72" s="347">
        <v>14500</v>
      </c>
      <c r="K72" s="324">
        <v>13319</v>
      </c>
      <c r="L72" s="136">
        <f t="shared" si="101"/>
        <v>-1181</v>
      </c>
      <c r="M72" s="137">
        <f t="shared" si="102"/>
        <v>-8.1448275862068972E-2</v>
      </c>
      <c r="N72" s="418"/>
      <c r="O72" s="347">
        <v>21000</v>
      </c>
      <c r="P72" s="135">
        <v>20305</v>
      </c>
      <c r="Q72" s="136">
        <f t="shared" si="103"/>
        <v>-695</v>
      </c>
      <c r="R72" s="137">
        <f t="shared" si="104"/>
        <v>-3.3095238095238094E-2</v>
      </c>
      <c r="S72" s="418"/>
      <c r="T72" s="135">
        <f t="shared" si="105"/>
        <v>30724</v>
      </c>
      <c r="U72" s="135"/>
      <c r="V72" s="136">
        <f t="shared" si="106"/>
        <v>-30724</v>
      </c>
      <c r="W72" s="137">
        <f t="shared" si="107"/>
        <v>-1</v>
      </c>
      <c r="X72" s="418"/>
    </row>
    <row r="73" spans="1:24" s="2" customFormat="1" ht="0.75" customHeight="1" x14ac:dyDescent="0.2">
      <c r="A73" s="207">
        <v>2229</v>
      </c>
      <c r="B73" s="159" t="s">
        <v>30</v>
      </c>
      <c r="C73" s="158"/>
      <c r="D73" s="347"/>
      <c r="E73" s="135"/>
      <c r="F73" s="135"/>
      <c r="G73" s="136">
        <f t="shared" si="95"/>
        <v>0</v>
      </c>
      <c r="H73" s="137" t="str">
        <f t="shared" si="96"/>
        <v>-</v>
      </c>
      <c r="I73" s="426"/>
      <c r="J73" s="347"/>
      <c r="K73" s="324"/>
      <c r="L73" s="136">
        <f t="shared" si="101"/>
        <v>0</v>
      </c>
      <c r="M73" s="137" t="str">
        <f t="shared" si="102"/>
        <v>-</v>
      </c>
      <c r="N73" s="419"/>
      <c r="O73" s="347"/>
      <c r="P73" s="135"/>
      <c r="Q73" s="136">
        <f t="shared" si="103"/>
        <v>0</v>
      </c>
      <c r="R73" s="137" t="str">
        <f t="shared" si="104"/>
        <v>-</v>
      </c>
      <c r="S73" s="419"/>
      <c r="T73" s="135"/>
      <c r="U73" s="135"/>
      <c r="V73" s="136">
        <f t="shared" si="106"/>
        <v>0</v>
      </c>
      <c r="W73" s="137" t="str">
        <f t="shared" si="107"/>
        <v>-</v>
      </c>
      <c r="X73" s="419"/>
    </row>
    <row r="74" spans="1:24" s="208" customFormat="1" ht="29.45" customHeight="1" x14ac:dyDescent="0.2">
      <c r="A74" s="154">
        <v>2230</v>
      </c>
      <c r="B74" s="162" t="s">
        <v>303</v>
      </c>
      <c r="C74" s="201">
        <f t="shared" ref="C74:F74" si="108">SUM(C75:C81)</f>
        <v>50195</v>
      </c>
      <c r="D74" s="352">
        <f t="shared" si="108"/>
        <v>56631</v>
      </c>
      <c r="E74" s="201">
        <f t="shared" si="108"/>
        <v>14245</v>
      </c>
      <c r="F74" s="201">
        <f t="shared" si="108"/>
        <v>16646</v>
      </c>
      <c r="G74" s="143">
        <f t="shared" si="95"/>
        <v>2401</v>
      </c>
      <c r="H74" s="144">
        <f t="shared" si="96"/>
        <v>0.16855036855036856</v>
      </c>
      <c r="I74" s="424" t="s">
        <v>378</v>
      </c>
      <c r="J74" s="352">
        <f t="shared" ref="J74:K74" si="109">SUM(J75:J81)</f>
        <v>28256</v>
      </c>
      <c r="K74" s="327">
        <f t="shared" si="109"/>
        <v>26941</v>
      </c>
      <c r="L74" s="143">
        <f t="shared" si="101"/>
        <v>-1315</v>
      </c>
      <c r="M74" s="144">
        <f t="shared" si="102"/>
        <v>-4.6538788221970558E-2</v>
      </c>
      <c r="N74" s="417"/>
      <c r="O74" s="352">
        <f t="shared" ref="O74:P74" si="110">SUM(O75:O81)</f>
        <v>43061</v>
      </c>
      <c r="P74" s="201">
        <f t="shared" si="110"/>
        <v>41415</v>
      </c>
      <c r="Q74" s="143">
        <f t="shared" si="103"/>
        <v>-1646</v>
      </c>
      <c r="R74" s="144">
        <f t="shared" si="104"/>
        <v>-3.822484382620004E-2</v>
      </c>
      <c r="S74" s="417"/>
      <c r="T74" s="201">
        <f t="shared" ref="T74:U74" si="111">SUM(T75:T81)</f>
        <v>56631</v>
      </c>
      <c r="U74" s="201">
        <f t="shared" si="111"/>
        <v>0</v>
      </c>
      <c r="V74" s="143">
        <f t="shared" si="106"/>
        <v>-56631</v>
      </c>
      <c r="W74" s="144">
        <f t="shared" si="107"/>
        <v>-1</v>
      </c>
      <c r="X74" s="417"/>
    </row>
    <row r="75" spans="1:24" s="4" customFormat="1" ht="17.100000000000001" customHeight="1" x14ac:dyDescent="0.2">
      <c r="A75" s="207">
        <v>2231</v>
      </c>
      <c r="B75" s="159" t="s">
        <v>237</v>
      </c>
      <c r="C75" s="158"/>
      <c r="D75" s="347"/>
      <c r="E75" s="135"/>
      <c r="F75" s="135"/>
      <c r="G75" s="136">
        <f t="shared" si="95"/>
        <v>0</v>
      </c>
      <c r="H75" s="137" t="str">
        <f t="shared" si="96"/>
        <v>-</v>
      </c>
      <c r="I75" s="425"/>
      <c r="J75" s="347"/>
      <c r="K75" s="324"/>
      <c r="L75" s="136">
        <f t="shared" si="101"/>
        <v>0</v>
      </c>
      <c r="M75" s="137" t="str">
        <f t="shared" si="102"/>
        <v>-</v>
      </c>
      <c r="N75" s="418"/>
      <c r="O75" s="347"/>
      <c r="P75" s="135"/>
      <c r="Q75" s="136">
        <f t="shared" si="103"/>
        <v>0</v>
      </c>
      <c r="R75" s="137" t="str">
        <f t="shared" si="104"/>
        <v>-</v>
      </c>
      <c r="S75" s="418"/>
      <c r="T75" s="135"/>
      <c r="U75" s="135"/>
      <c r="V75" s="136">
        <f t="shared" si="106"/>
        <v>0</v>
      </c>
      <c r="W75" s="137" t="str">
        <f t="shared" si="107"/>
        <v>-</v>
      </c>
      <c r="X75" s="418"/>
    </row>
    <row r="76" spans="1:24" s="2" customFormat="1" ht="17.100000000000001" customHeight="1" x14ac:dyDescent="0.2">
      <c r="A76" s="207">
        <v>2232</v>
      </c>
      <c r="B76" s="159" t="s">
        <v>238</v>
      </c>
      <c r="C76" s="158">
        <v>7965</v>
      </c>
      <c r="D76" s="347">
        <v>6025</v>
      </c>
      <c r="E76" s="135">
        <v>3775</v>
      </c>
      <c r="F76" s="135">
        <v>3969</v>
      </c>
      <c r="G76" s="136">
        <f t="shared" si="95"/>
        <v>194</v>
      </c>
      <c r="H76" s="137">
        <f t="shared" si="96"/>
        <v>5.139072847682119E-2</v>
      </c>
      <c r="I76" s="425"/>
      <c r="J76" s="347">
        <v>4525</v>
      </c>
      <c r="K76" s="324">
        <v>5784</v>
      </c>
      <c r="L76" s="136">
        <f t="shared" si="101"/>
        <v>1259</v>
      </c>
      <c r="M76" s="137">
        <f t="shared" si="102"/>
        <v>0.27823204419889502</v>
      </c>
      <c r="N76" s="418"/>
      <c r="O76" s="347">
        <v>5275</v>
      </c>
      <c r="P76" s="135">
        <v>11350</v>
      </c>
      <c r="Q76" s="136">
        <f t="shared" si="103"/>
        <v>6075</v>
      </c>
      <c r="R76" s="137">
        <f t="shared" si="104"/>
        <v>1.1516587677725119</v>
      </c>
      <c r="S76" s="418"/>
      <c r="T76" s="135">
        <f>D76</f>
        <v>6025</v>
      </c>
      <c r="U76" s="135"/>
      <c r="V76" s="136">
        <f t="shared" si="106"/>
        <v>-6025</v>
      </c>
      <c r="W76" s="137">
        <f t="shared" si="107"/>
        <v>-1</v>
      </c>
      <c r="X76" s="418"/>
    </row>
    <row r="77" spans="1:24" s="2" customFormat="1" ht="17.100000000000001" customHeight="1" x14ac:dyDescent="0.2">
      <c r="A77" s="207">
        <v>2233</v>
      </c>
      <c r="B77" s="159" t="s">
        <v>31</v>
      </c>
      <c r="C77" s="158">
        <v>1037</v>
      </c>
      <c r="D77" s="347">
        <v>1800</v>
      </c>
      <c r="E77" s="135">
        <v>400</v>
      </c>
      <c r="F77" s="135">
        <v>504</v>
      </c>
      <c r="G77" s="136">
        <f t="shared" si="95"/>
        <v>104</v>
      </c>
      <c r="H77" s="137">
        <f t="shared" si="96"/>
        <v>0.26</v>
      </c>
      <c r="I77" s="425"/>
      <c r="J77" s="347">
        <v>800</v>
      </c>
      <c r="K77" s="324">
        <v>752</v>
      </c>
      <c r="L77" s="136">
        <f t="shared" si="101"/>
        <v>-48</v>
      </c>
      <c r="M77" s="137">
        <f t="shared" si="102"/>
        <v>-0.06</v>
      </c>
      <c r="N77" s="418"/>
      <c r="O77" s="347">
        <v>1600</v>
      </c>
      <c r="P77" s="135">
        <v>2502</v>
      </c>
      <c r="Q77" s="136">
        <f t="shared" si="103"/>
        <v>902</v>
      </c>
      <c r="R77" s="137">
        <f t="shared" si="104"/>
        <v>0.56374999999999997</v>
      </c>
      <c r="S77" s="418"/>
      <c r="T77" s="135">
        <f t="shared" ref="T77:T81" si="112">D77</f>
        <v>1800</v>
      </c>
      <c r="U77" s="135"/>
      <c r="V77" s="136">
        <f t="shared" si="106"/>
        <v>-1800</v>
      </c>
      <c r="W77" s="137">
        <f t="shared" si="107"/>
        <v>-1</v>
      </c>
      <c r="X77" s="418"/>
    </row>
    <row r="78" spans="1:24" s="2" customFormat="1" ht="17.100000000000001" customHeight="1" x14ac:dyDescent="0.2">
      <c r="A78" s="207">
        <v>2234</v>
      </c>
      <c r="B78" s="159" t="s">
        <v>304</v>
      </c>
      <c r="C78" s="158">
        <v>9260</v>
      </c>
      <c r="D78" s="347">
        <v>7600</v>
      </c>
      <c r="E78" s="135">
        <v>3200</v>
      </c>
      <c r="F78" s="135">
        <v>3642</v>
      </c>
      <c r="G78" s="136">
        <f t="shared" si="95"/>
        <v>442</v>
      </c>
      <c r="H78" s="137">
        <f t="shared" si="96"/>
        <v>0.138125</v>
      </c>
      <c r="I78" s="425"/>
      <c r="J78" s="347">
        <v>4200</v>
      </c>
      <c r="K78" s="324">
        <v>3698</v>
      </c>
      <c r="L78" s="136">
        <f t="shared" si="101"/>
        <v>-502</v>
      </c>
      <c r="M78" s="137">
        <f t="shared" si="102"/>
        <v>-0.11952380952380952</v>
      </c>
      <c r="N78" s="418"/>
      <c r="O78" s="347">
        <v>5200</v>
      </c>
      <c r="P78" s="135">
        <v>3977</v>
      </c>
      <c r="Q78" s="136">
        <f t="shared" si="103"/>
        <v>-1223</v>
      </c>
      <c r="R78" s="137">
        <f t="shared" si="104"/>
        <v>-0.2351923076923077</v>
      </c>
      <c r="S78" s="418"/>
      <c r="T78" s="135">
        <f t="shared" si="112"/>
        <v>7600</v>
      </c>
      <c r="U78" s="135"/>
      <c r="V78" s="136">
        <f t="shared" si="106"/>
        <v>-7600</v>
      </c>
      <c r="W78" s="137">
        <f t="shared" si="107"/>
        <v>-1</v>
      </c>
      <c r="X78" s="418"/>
    </row>
    <row r="79" spans="1:24" s="2" customFormat="1" ht="16.5" customHeight="1" x14ac:dyDescent="0.2">
      <c r="A79" s="207">
        <v>2235</v>
      </c>
      <c r="B79" s="159" t="s">
        <v>239</v>
      </c>
      <c r="C79" s="158">
        <v>8955</v>
      </c>
      <c r="D79" s="347">
        <v>21850</v>
      </c>
      <c r="E79" s="135">
        <v>2440</v>
      </c>
      <c r="F79" s="135">
        <v>3628</v>
      </c>
      <c r="G79" s="136">
        <f t="shared" si="95"/>
        <v>1188</v>
      </c>
      <c r="H79" s="137">
        <f t="shared" si="96"/>
        <v>0.48688524590163934</v>
      </c>
      <c r="I79" s="425"/>
      <c r="J79" s="347">
        <v>7300</v>
      </c>
      <c r="K79" s="324">
        <v>6601</v>
      </c>
      <c r="L79" s="136">
        <f t="shared" si="101"/>
        <v>-699</v>
      </c>
      <c r="M79" s="137">
        <f t="shared" si="102"/>
        <v>-9.5753424657534253E-2</v>
      </c>
      <c r="N79" s="418"/>
      <c r="O79" s="347">
        <v>16000</v>
      </c>
      <c r="P79" s="135">
        <v>9957</v>
      </c>
      <c r="Q79" s="136">
        <f t="shared" si="103"/>
        <v>-6043</v>
      </c>
      <c r="R79" s="137">
        <f t="shared" si="104"/>
        <v>-0.37768750000000001</v>
      </c>
      <c r="S79" s="418"/>
      <c r="T79" s="135">
        <f t="shared" si="112"/>
        <v>21850</v>
      </c>
      <c r="U79" s="135"/>
      <c r="V79" s="136">
        <f t="shared" si="106"/>
        <v>-21850</v>
      </c>
      <c r="W79" s="137">
        <f t="shared" si="107"/>
        <v>-1</v>
      </c>
      <c r="X79" s="418"/>
    </row>
    <row r="80" spans="1:24" s="2" customFormat="1" ht="17.100000000000001" customHeight="1" x14ac:dyDescent="0.2">
      <c r="A80" s="207">
        <v>2236</v>
      </c>
      <c r="B80" s="159" t="s">
        <v>240</v>
      </c>
      <c r="C80" s="158">
        <v>1161</v>
      </c>
      <c r="D80" s="347">
        <v>1160</v>
      </c>
      <c r="E80" s="135">
        <v>290</v>
      </c>
      <c r="F80" s="135">
        <v>351</v>
      </c>
      <c r="G80" s="136">
        <f t="shared" si="95"/>
        <v>61</v>
      </c>
      <c r="H80" s="137">
        <f t="shared" si="96"/>
        <v>0.2103448275862069</v>
      </c>
      <c r="I80" s="425"/>
      <c r="J80" s="347">
        <v>580</v>
      </c>
      <c r="K80" s="324">
        <v>702</v>
      </c>
      <c r="L80" s="136">
        <f t="shared" si="101"/>
        <v>122</v>
      </c>
      <c r="M80" s="137">
        <f t="shared" si="102"/>
        <v>0.2103448275862069</v>
      </c>
      <c r="N80" s="418"/>
      <c r="O80" s="347">
        <v>870</v>
      </c>
      <c r="P80" s="135">
        <v>1104</v>
      </c>
      <c r="Q80" s="136">
        <f t="shared" si="103"/>
        <v>234</v>
      </c>
      <c r="R80" s="137">
        <f t="shared" si="104"/>
        <v>0.26896551724137929</v>
      </c>
      <c r="S80" s="418"/>
      <c r="T80" s="135">
        <f t="shared" si="112"/>
        <v>1160</v>
      </c>
      <c r="U80" s="135"/>
      <c r="V80" s="136">
        <f t="shared" si="106"/>
        <v>-1160</v>
      </c>
      <c r="W80" s="137">
        <f t="shared" si="107"/>
        <v>-1</v>
      </c>
      <c r="X80" s="418"/>
    </row>
    <row r="81" spans="1:24" s="2" customFormat="1" ht="17.100000000000001" customHeight="1" x14ac:dyDescent="0.2">
      <c r="A81" s="207">
        <v>2239</v>
      </c>
      <c r="B81" s="159" t="s">
        <v>241</v>
      </c>
      <c r="C81" s="158">
        <v>21817</v>
      </c>
      <c r="D81" s="347">
        <f>17000+1196</f>
        <v>18196</v>
      </c>
      <c r="E81" s="135">
        <v>4140</v>
      </c>
      <c r="F81" s="135">
        <v>4552</v>
      </c>
      <c r="G81" s="136">
        <f t="shared" si="95"/>
        <v>412</v>
      </c>
      <c r="H81" s="137">
        <f t="shared" si="96"/>
        <v>9.9516908212560387E-2</v>
      </c>
      <c r="I81" s="426"/>
      <c r="J81" s="347">
        <f>9655+1196</f>
        <v>10851</v>
      </c>
      <c r="K81" s="324">
        <v>9404</v>
      </c>
      <c r="L81" s="136">
        <f t="shared" si="101"/>
        <v>-1447</v>
      </c>
      <c r="M81" s="137">
        <f t="shared" si="102"/>
        <v>-0.13335176481430283</v>
      </c>
      <c r="N81" s="419"/>
      <c r="O81" s="347">
        <f>12920+1196</f>
        <v>14116</v>
      </c>
      <c r="P81" s="135">
        <v>12525</v>
      </c>
      <c r="Q81" s="136">
        <f t="shared" si="103"/>
        <v>-1591</v>
      </c>
      <c r="R81" s="137">
        <f t="shared" si="104"/>
        <v>-0.11270898271465005</v>
      </c>
      <c r="S81" s="419"/>
      <c r="T81" s="135">
        <f t="shared" si="112"/>
        <v>18196</v>
      </c>
      <c r="U81" s="135"/>
      <c r="V81" s="136">
        <f t="shared" si="106"/>
        <v>-18196</v>
      </c>
      <c r="W81" s="137">
        <f t="shared" si="107"/>
        <v>-1</v>
      </c>
      <c r="X81" s="419"/>
    </row>
    <row r="82" spans="1:24" s="214" customFormat="1" ht="17.100000000000001" customHeight="1" x14ac:dyDescent="0.2">
      <c r="A82" s="154">
        <v>2240</v>
      </c>
      <c r="B82" s="162" t="s">
        <v>130</v>
      </c>
      <c r="C82" s="201">
        <f t="shared" ref="C82:F82" si="113">SUM(C83:C88)</f>
        <v>227858</v>
      </c>
      <c r="D82" s="352">
        <f t="shared" si="113"/>
        <v>241285</v>
      </c>
      <c r="E82" s="201">
        <f t="shared" si="113"/>
        <v>79050</v>
      </c>
      <c r="F82" s="201">
        <f t="shared" si="113"/>
        <v>56294</v>
      </c>
      <c r="G82" s="143">
        <f t="shared" si="95"/>
        <v>-22756</v>
      </c>
      <c r="H82" s="144">
        <f t="shared" si="96"/>
        <v>-0.28786843769765968</v>
      </c>
      <c r="I82" s="424" t="s">
        <v>379</v>
      </c>
      <c r="J82" s="352">
        <f t="shared" ref="J82:K82" si="114">SUM(J83:J88)</f>
        <v>131735</v>
      </c>
      <c r="K82" s="327">
        <f t="shared" si="114"/>
        <v>119392</v>
      </c>
      <c r="L82" s="143">
        <f t="shared" si="101"/>
        <v>-12343</v>
      </c>
      <c r="M82" s="144">
        <f t="shared" si="102"/>
        <v>-9.3695676927164379E-2</v>
      </c>
      <c r="N82" s="424" t="s">
        <v>400</v>
      </c>
      <c r="O82" s="352">
        <f t="shared" ref="O82:P82" si="115">SUM(O83:O88)</f>
        <v>198390</v>
      </c>
      <c r="P82" s="201">
        <f t="shared" si="115"/>
        <v>193391</v>
      </c>
      <c r="Q82" s="143">
        <f t="shared" si="103"/>
        <v>-4999</v>
      </c>
      <c r="R82" s="144">
        <f t="shared" si="104"/>
        <v>-2.5197842633197239E-2</v>
      </c>
      <c r="S82" s="430" t="s">
        <v>420</v>
      </c>
      <c r="T82" s="201">
        <f t="shared" ref="T82:U82" si="116">SUM(T83:T88)</f>
        <v>241285</v>
      </c>
      <c r="U82" s="201">
        <f t="shared" si="116"/>
        <v>0</v>
      </c>
      <c r="V82" s="143">
        <f t="shared" si="106"/>
        <v>-241285</v>
      </c>
      <c r="W82" s="144">
        <f t="shared" si="107"/>
        <v>-1</v>
      </c>
      <c r="X82" s="417"/>
    </row>
    <row r="83" spans="1:24" s="2" customFormat="1" ht="17.100000000000001" customHeight="1" x14ac:dyDescent="0.2">
      <c r="A83" s="207">
        <v>2241</v>
      </c>
      <c r="B83" s="159" t="s">
        <v>242</v>
      </c>
      <c r="C83" s="158">
        <v>64394</v>
      </c>
      <c r="D83" s="347">
        <v>56000</v>
      </c>
      <c r="E83" s="135">
        <v>12000</v>
      </c>
      <c r="F83" s="135">
        <v>13537</v>
      </c>
      <c r="G83" s="136">
        <f t="shared" si="95"/>
        <v>1537</v>
      </c>
      <c r="H83" s="137">
        <f t="shared" si="96"/>
        <v>0.12808333333333333</v>
      </c>
      <c r="I83" s="425"/>
      <c r="J83" s="347">
        <v>27000</v>
      </c>
      <c r="K83" s="324">
        <v>18793</v>
      </c>
      <c r="L83" s="136">
        <f t="shared" si="101"/>
        <v>-8207</v>
      </c>
      <c r="M83" s="137">
        <f t="shared" si="102"/>
        <v>-0.30396296296296299</v>
      </c>
      <c r="N83" s="425"/>
      <c r="O83" s="347">
        <v>56000</v>
      </c>
      <c r="P83" s="135">
        <v>29356</v>
      </c>
      <c r="Q83" s="136">
        <f t="shared" si="103"/>
        <v>-26644</v>
      </c>
      <c r="R83" s="137">
        <f t="shared" si="104"/>
        <v>-0.47578571428571431</v>
      </c>
      <c r="S83" s="431"/>
      <c r="T83" s="135">
        <f>D83</f>
        <v>56000</v>
      </c>
      <c r="U83" s="135"/>
      <c r="V83" s="136">
        <f t="shared" si="106"/>
        <v>-56000</v>
      </c>
      <c r="W83" s="137">
        <f t="shared" si="107"/>
        <v>-1</v>
      </c>
      <c r="X83" s="418"/>
    </row>
    <row r="84" spans="1:24" s="2" customFormat="1" ht="17.100000000000001" customHeight="1" x14ac:dyDescent="0.2">
      <c r="A84" s="207">
        <v>2242</v>
      </c>
      <c r="B84" s="159" t="s">
        <v>32</v>
      </c>
      <c r="C84" s="158">
        <v>3251</v>
      </c>
      <c r="D84" s="347">
        <v>3200</v>
      </c>
      <c r="E84" s="135">
        <v>800</v>
      </c>
      <c r="F84" s="135">
        <v>617</v>
      </c>
      <c r="G84" s="136">
        <f t="shared" si="95"/>
        <v>-183</v>
      </c>
      <c r="H84" s="137">
        <f t="shared" si="96"/>
        <v>-0.22875000000000001</v>
      </c>
      <c r="I84" s="425"/>
      <c r="J84" s="347">
        <v>1600</v>
      </c>
      <c r="K84" s="324">
        <v>1635</v>
      </c>
      <c r="L84" s="136">
        <f t="shared" si="101"/>
        <v>35</v>
      </c>
      <c r="M84" s="137">
        <f t="shared" si="102"/>
        <v>2.1874999999999999E-2</v>
      </c>
      <c r="N84" s="425"/>
      <c r="O84" s="347">
        <v>2400</v>
      </c>
      <c r="P84" s="135">
        <v>1980</v>
      </c>
      <c r="Q84" s="136">
        <f t="shared" si="103"/>
        <v>-420</v>
      </c>
      <c r="R84" s="137">
        <f t="shared" si="104"/>
        <v>-0.17499999999999999</v>
      </c>
      <c r="S84" s="431"/>
      <c r="T84" s="135">
        <f t="shared" ref="T84:T89" si="117">D84</f>
        <v>3200</v>
      </c>
      <c r="U84" s="135"/>
      <c r="V84" s="136">
        <f t="shared" si="106"/>
        <v>-3200</v>
      </c>
      <c r="W84" s="137">
        <f t="shared" si="107"/>
        <v>-1</v>
      </c>
      <c r="X84" s="418"/>
    </row>
    <row r="85" spans="1:24" s="2" customFormat="1" ht="17.100000000000001" customHeight="1" x14ac:dyDescent="0.2">
      <c r="A85" s="207">
        <v>2243</v>
      </c>
      <c r="B85" s="159" t="s">
        <v>33</v>
      </c>
      <c r="C85" s="158">
        <v>70925</v>
      </c>
      <c r="D85" s="347">
        <v>69085</v>
      </c>
      <c r="E85" s="135">
        <v>36085</v>
      </c>
      <c r="F85" s="135">
        <v>10453</v>
      </c>
      <c r="G85" s="136">
        <f t="shared" si="95"/>
        <v>-25632</v>
      </c>
      <c r="H85" s="137">
        <f t="shared" si="96"/>
        <v>-0.71032284882915342</v>
      </c>
      <c r="I85" s="425"/>
      <c r="J85" s="347">
        <v>47085</v>
      </c>
      <c r="K85" s="324">
        <v>39138</v>
      </c>
      <c r="L85" s="136">
        <f t="shared" si="101"/>
        <v>-7947</v>
      </c>
      <c r="M85" s="137">
        <f t="shared" si="102"/>
        <v>-0.16877986619942656</v>
      </c>
      <c r="N85" s="425"/>
      <c r="O85" s="347">
        <v>58085</v>
      </c>
      <c r="P85" s="135">
        <v>55795</v>
      </c>
      <c r="Q85" s="136">
        <f t="shared" si="103"/>
        <v>-2290</v>
      </c>
      <c r="R85" s="137">
        <f t="shared" si="104"/>
        <v>-3.9424980631832661E-2</v>
      </c>
      <c r="S85" s="431"/>
      <c r="T85" s="135">
        <f t="shared" si="117"/>
        <v>69085</v>
      </c>
      <c r="U85" s="135"/>
      <c r="V85" s="136">
        <f t="shared" si="106"/>
        <v>-69085</v>
      </c>
      <c r="W85" s="137">
        <f t="shared" si="107"/>
        <v>-1</v>
      </c>
      <c r="X85" s="418"/>
    </row>
    <row r="86" spans="1:24" s="2" customFormat="1" ht="17.100000000000001" customHeight="1" x14ac:dyDescent="0.2">
      <c r="A86" s="207">
        <v>2244</v>
      </c>
      <c r="B86" s="159" t="s">
        <v>131</v>
      </c>
      <c r="C86" s="158">
        <v>12816</v>
      </c>
      <c r="D86" s="347">
        <v>14100</v>
      </c>
      <c r="E86" s="135">
        <v>3525</v>
      </c>
      <c r="F86" s="135">
        <v>3378</v>
      </c>
      <c r="G86" s="136">
        <f t="shared" si="95"/>
        <v>-147</v>
      </c>
      <c r="H86" s="137">
        <f t="shared" si="96"/>
        <v>-4.170212765957447E-2</v>
      </c>
      <c r="I86" s="425"/>
      <c r="J86" s="347">
        <v>7050</v>
      </c>
      <c r="K86" s="324">
        <v>6363</v>
      </c>
      <c r="L86" s="136">
        <f t="shared" si="101"/>
        <v>-687</v>
      </c>
      <c r="M86" s="137">
        <f t="shared" si="102"/>
        <v>-9.7446808510638291E-2</v>
      </c>
      <c r="N86" s="425"/>
      <c r="O86" s="347">
        <v>10575</v>
      </c>
      <c r="P86" s="135">
        <v>15451</v>
      </c>
      <c r="Q86" s="136">
        <f t="shared" si="103"/>
        <v>4876</v>
      </c>
      <c r="R86" s="137">
        <f t="shared" si="104"/>
        <v>0.46108747044917259</v>
      </c>
      <c r="S86" s="431"/>
      <c r="T86" s="135">
        <f t="shared" si="117"/>
        <v>14100</v>
      </c>
      <c r="U86" s="135"/>
      <c r="V86" s="136">
        <f t="shared" si="106"/>
        <v>-14100</v>
      </c>
      <c r="W86" s="137">
        <f t="shared" si="107"/>
        <v>-1</v>
      </c>
      <c r="X86" s="418"/>
    </row>
    <row r="87" spans="1:24" s="2" customFormat="1" ht="17.100000000000001" customHeight="1" x14ac:dyDescent="0.2">
      <c r="A87" s="207">
        <v>2247</v>
      </c>
      <c r="B87" s="159" t="s">
        <v>34</v>
      </c>
      <c r="C87" s="158">
        <v>11663</v>
      </c>
      <c r="D87" s="347">
        <v>12000</v>
      </c>
      <c r="E87" s="135">
        <v>3000</v>
      </c>
      <c r="F87" s="135">
        <v>2930</v>
      </c>
      <c r="G87" s="136">
        <f t="shared" si="95"/>
        <v>-70</v>
      </c>
      <c r="H87" s="137">
        <f t="shared" si="96"/>
        <v>-2.3333333333333334E-2</v>
      </c>
      <c r="I87" s="425"/>
      <c r="J87" s="347">
        <v>6000</v>
      </c>
      <c r="K87" s="324">
        <v>5921</v>
      </c>
      <c r="L87" s="136">
        <f t="shared" si="101"/>
        <v>-79</v>
      </c>
      <c r="M87" s="137">
        <f t="shared" si="102"/>
        <v>-1.3166666666666667E-2</v>
      </c>
      <c r="N87" s="425"/>
      <c r="O87" s="347">
        <v>9000</v>
      </c>
      <c r="P87" s="135">
        <v>8918</v>
      </c>
      <c r="Q87" s="136">
        <f t="shared" si="103"/>
        <v>-82</v>
      </c>
      <c r="R87" s="137">
        <f t="shared" si="104"/>
        <v>-9.1111111111111115E-3</v>
      </c>
      <c r="S87" s="431"/>
      <c r="T87" s="135">
        <f t="shared" si="117"/>
        <v>12000</v>
      </c>
      <c r="U87" s="135"/>
      <c r="V87" s="136">
        <f t="shared" si="106"/>
        <v>-12000</v>
      </c>
      <c r="W87" s="137">
        <f t="shared" si="107"/>
        <v>-1</v>
      </c>
      <c r="X87" s="418"/>
    </row>
    <row r="88" spans="1:24" s="2" customFormat="1" ht="17.100000000000001" customHeight="1" x14ac:dyDescent="0.2">
      <c r="A88" s="207">
        <v>2249</v>
      </c>
      <c r="B88" s="159" t="s">
        <v>35</v>
      </c>
      <c r="C88" s="158">
        <v>64809</v>
      </c>
      <c r="D88" s="347">
        <v>86900</v>
      </c>
      <c r="E88" s="135">
        <v>23640</v>
      </c>
      <c r="F88" s="135">
        <v>25379</v>
      </c>
      <c r="G88" s="136">
        <f t="shared" si="95"/>
        <v>1739</v>
      </c>
      <c r="H88" s="137">
        <f t="shared" si="96"/>
        <v>7.3561759729272425E-2</v>
      </c>
      <c r="I88" s="426"/>
      <c r="J88" s="347">
        <v>43000</v>
      </c>
      <c r="K88" s="324">
        <v>47542</v>
      </c>
      <c r="L88" s="136">
        <f t="shared" si="101"/>
        <v>4542</v>
      </c>
      <c r="M88" s="137">
        <f t="shared" si="102"/>
        <v>0.10562790697674418</v>
      </c>
      <c r="N88" s="426"/>
      <c r="O88" s="347">
        <f>61650+680</f>
        <v>62330</v>
      </c>
      <c r="P88" s="135">
        <v>81891</v>
      </c>
      <c r="Q88" s="136">
        <f t="shared" si="103"/>
        <v>19561</v>
      </c>
      <c r="R88" s="137">
        <f t="shared" si="104"/>
        <v>0.31382961655703512</v>
      </c>
      <c r="S88" s="432"/>
      <c r="T88" s="135">
        <f t="shared" si="117"/>
        <v>86900</v>
      </c>
      <c r="U88" s="135"/>
      <c r="V88" s="136">
        <f t="shared" si="106"/>
        <v>-86900</v>
      </c>
      <c r="W88" s="137">
        <f t="shared" si="107"/>
        <v>-1</v>
      </c>
      <c r="X88" s="419"/>
    </row>
    <row r="89" spans="1:24" s="208" customFormat="1" ht="17.100000000000001" customHeight="1" x14ac:dyDescent="0.2">
      <c r="A89" s="154">
        <v>2250</v>
      </c>
      <c r="B89" s="165" t="s">
        <v>36</v>
      </c>
      <c r="C89" s="163">
        <v>53018</v>
      </c>
      <c r="D89" s="355">
        <v>44400</v>
      </c>
      <c r="E89" s="163">
        <v>22825</v>
      </c>
      <c r="F89" s="163">
        <v>12606</v>
      </c>
      <c r="G89" s="215">
        <f t="shared" si="95"/>
        <v>-10219</v>
      </c>
      <c r="H89" s="216">
        <f t="shared" si="96"/>
        <v>-0.44771084337349398</v>
      </c>
      <c r="I89" s="288" t="s">
        <v>380</v>
      </c>
      <c r="J89" s="355">
        <v>22825</v>
      </c>
      <c r="K89" s="329">
        <v>26052</v>
      </c>
      <c r="L89" s="215">
        <f t="shared" si="101"/>
        <v>3227</v>
      </c>
      <c r="M89" s="216">
        <f t="shared" si="102"/>
        <v>0.14138006571741513</v>
      </c>
      <c r="N89" s="217"/>
      <c r="O89" s="355">
        <v>33300</v>
      </c>
      <c r="P89" s="163">
        <v>39474</v>
      </c>
      <c r="Q89" s="215">
        <f t="shared" si="103"/>
        <v>6174</v>
      </c>
      <c r="R89" s="216">
        <f t="shared" si="104"/>
        <v>0.1854054054054054</v>
      </c>
      <c r="S89" s="301" t="s">
        <v>421</v>
      </c>
      <c r="T89" s="135">
        <f t="shared" si="117"/>
        <v>44400</v>
      </c>
      <c r="U89" s="163"/>
      <c r="V89" s="215">
        <f t="shared" si="106"/>
        <v>-44400</v>
      </c>
      <c r="W89" s="216">
        <f t="shared" si="107"/>
        <v>-1</v>
      </c>
      <c r="X89" s="217"/>
    </row>
    <row r="90" spans="1:24" s="208" customFormat="1" ht="17.100000000000001" customHeight="1" x14ac:dyDescent="0.2">
      <c r="A90" s="154">
        <v>2260</v>
      </c>
      <c r="B90" s="165" t="s">
        <v>37</v>
      </c>
      <c r="C90" s="201">
        <f t="shared" ref="C90:F90" si="118">SUM(C91:C95)</f>
        <v>4258</v>
      </c>
      <c r="D90" s="352">
        <f t="shared" si="118"/>
        <v>3700</v>
      </c>
      <c r="E90" s="201">
        <f t="shared" si="118"/>
        <v>1550</v>
      </c>
      <c r="F90" s="201">
        <f t="shared" si="118"/>
        <v>817</v>
      </c>
      <c r="G90" s="215">
        <f t="shared" si="95"/>
        <v>-733</v>
      </c>
      <c r="H90" s="216">
        <f t="shared" si="96"/>
        <v>-0.47290322580645161</v>
      </c>
      <c r="I90" s="424" t="s">
        <v>381</v>
      </c>
      <c r="J90" s="352">
        <f t="shared" ref="J90:K90" si="119">SUM(J91:J95)</f>
        <v>1500</v>
      </c>
      <c r="K90" s="327">
        <f t="shared" si="119"/>
        <v>1570</v>
      </c>
      <c r="L90" s="215">
        <f t="shared" si="101"/>
        <v>70</v>
      </c>
      <c r="M90" s="216">
        <f t="shared" si="102"/>
        <v>4.6666666666666669E-2</v>
      </c>
      <c r="N90" s="417"/>
      <c r="O90" s="352">
        <f t="shared" ref="O90:P90" si="120">SUM(O91:O95)</f>
        <v>2200</v>
      </c>
      <c r="P90" s="201">
        <f t="shared" si="120"/>
        <v>1999</v>
      </c>
      <c r="Q90" s="215">
        <f t="shared" si="103"/>
        <v>-201</v>
      </c>
      <c r="R90" s="216">
        <f t="shared" si="104"/>
        <v>-9.1363636363636369E-2</v>
      </c>
      <c r="S90" s="417"/>
      <c r="T90" s="201">
        <f t="shared" ref="T90:U90" si="121">SUM(T91:T95)</f>
        <v>3700</v>
      </c>
      <c r="U90" s="201">
        <f t="shared" si="121"/>
        <v>0</v>
      </c>
      <c r="V90" s="215">
        <f t="shared" si="106"/>
        <v>-3700</v>
      </c>
      <c r="W90" s="216">
        <f t="shared" si="107"/>
        <v>-1</v>
      </c>
      <c r="X90" s="417"/>
    </row>
    <row r="91" spans="1:24" s="2" customFormat="1" ht="17.100000000000001" customHeight="1" x14ac:dyDescent="0.2">
      <c r="A91" s="207">
        <v>2261</v>
      </c>
      <c r="B91" s="48" t="s">
        <v>38</v>
      </c>
      <c r="C91" s="158"/>
      <c r="D91" s="347"/>
      <c r="E91" s="135"/>
      <c r="F91" s="135"/>
      <c r="G91" s="136">
        <f t="shared" si="95"/>
        <v>0</v>
      </c>
      <c r="H91" s="137" t="str">
        <f t="shared" si="96"/>
        <v>-</v>
      </c>
      <c r="I91" s="425"/>
      <c r="J91" s="347"/>
      <c r="K91" s="324"/>
      <c r="L91" s="136">
        <f t="shared" si="101"/>
        <v>0</v>
      </c>
      <c r="M91" s="137" t="str">
        <f t="shared" si="102"/>
        <v>-</v>
      </c>
      <c r="N91" s="418"/>
      <c r="O91" s="347"/>
      <c r="P91" s="135"/>
      <c r="Q91" s="136">
        <f t="shared" si="103"/>
        <v>0</v>
      </c>
      <c r="R91" s="137" t="str">
        <f t="shared" si="104"/>
        <v>-</v>
      </c>
      <c r="S91" s="418"/>
      <c r="T91" s="135"/>
      <c r="U91" s="135"/>
      <c r="V91" s="136">
        <f t="shared" si="106"/>
        <v>0</v>
      </c>
      <c r="W91" s="137" t="str">
        <f t="shared" si="107"/>
        <v>-</v>
      </c>
      <c r="X91" s="418"/>
    </row>
    <row r="92" spans="1:24" s="2" customFormat="1" ht="17.100000000000001" customHeight="1" x14ac:dyDescent="0.2">
      <c r="A92" s="207">
        <v>2262</v>
      </c>
      <c r="B92" s="48" t="s">
        <v>39</v>
      </c>
      <c r="C92" s="158"/>
      <c r="D92" s="347"/>
      <c r="E92" s="135"/>
      <c r="F92" s="135"/>
      <c r="G92" s="136">
        <f t="shared" si="95"/>
        <v>0</v>
      </c>
      <c r="H92" s="137" t="str">
        <f t="shared" si="96"/>
        <v>-</v>
      </c>
      <c r="I92" s="425"/>
      <c r="J92" s="347"/>
      <c r="K92" s="324"/>
      <c r="L92" s="136">
        <f t="shared" si="101"/>
        <v>0</v>
      </c>
      <c r="M92" s="137" t="str">
        <f t="shared" si="102"/>
        <v>-</v>
      </c>
      <c r="N92" s="418"/>
      <c r="O92" s="347"/>
      <c r="P92" s="135"/>
      <c r="Q92" s="136">
        <f t="shared" si="103"/>
        <v>0</v>
      </c>
      <c r="R92" s="137" t="str">
        <f t="shared" si="104"/>
        <v>-</v>
      </c>
      <c r="S92" s="418"/>
      <c r="T92" s="135"/>
      <c r="U92" s="135"/>
      <c r="V92" s="136">
        <f t="shared" si="106"/>
        <v>0</v>
      </c>
      <c r="W92" s="137" t="str">
        <f t="shared" si="107"/>
        <v>-</v>
      </c>
      <c r="X92" s="418"/>
    </row>
    <row r="93" spans="1:24" s="2" customFormat="1" ht="17.100000000000001" customHeight="1" x14ac:dyDescent="0.2">
      <c r="A93" s="207">
        <v>2263</v>
      </c>
      <c r="B93" s="48" t="s">
        <v>40</v>
      </c>
      <c r="C93" s="158"/>
      <c r="D93" s="347"/>
      <c r="E93" s="135"/>
      <c r="F93" s="135"/>
      <c r="G93" s="136">
        <f t="shared" si="95"/>
        <v>0</v>
      </c>
      <c r="H93" s="137" t="str">
        <f t="shared" si="96"/>
        <v>-</v>
      </c>
      <c r="I93" s="425"/>
      <c r="J93" s="347"/>
      <c r="K93" s="324"/>
      <c r="L93" s="136">
        <f t="shared" si="101"/>
        <v>0</v>
      </c>
      <c r="M93" s="137" t="str">
        <f t="shared" si="102"/>
        <v>-</v>
      </c>
      <c r="N93" s="418"/>
      <c r="O93" s="347"/>
      <c r="P93" s="135"/>
      <c r="Q93" s="136">
        <f t="shared" si="103"/>
        <v>0</v>
      </c>
      <c r="R93" s="137" t="str">
        <f t="shared" si="104"/>
        <v>-</v>
      </c>
      <c r="S93" s="418"/>
      <c r="T93" s="135"/>
      <c r="U93" s="135"/>
      <c r="V93" s="136">
        <f t="shared" si="106"/>
        <v>0</v>
      </c>
      <c r="W93" s="137" t="str">
        <f t="shared" si="107"/>
        <v>-</v>
      </c>
      <c r="X93" s="418"/>
    </row>
    <row r="94" spans="1:24" s="2" customFormat="1" ht="17.100000000000001" customHeight="1" x14ac:dyDescent="0.2">
      <c r="A94" s="207">
        <v>2264</v>
      </c>
      <c r="B94" s="48" t="s">
        <v>132</v>
      </c>
      <c r="C94" s="158">
        <v>4258</v>
      </c>
      <c r="D94" s="347">
        <v>3700</v>
      </c>
      <c r="E94" s="135">
        <v>1550</v>
      </c>
      <c r="F94" s="135">
        <v>817</v>
      </c>
      <c r="G94" s="136">
        <f t="shared" si="95"/>
        <v>-733</v>
      </c>
      <c r="H94" s="137">
        <f t="shared" si="96"/>
        <v>-0.47290322580645161</v>
      </c>
      <c r="I94" s="425"/>
      <c r="J94" s="347">
        <v>1500</v>
      </c>
      <c r="K94" s="324">
        <v>1570</v>
      </c>
      <c r="L94" s="136">
        <f t="shared" si="101"/>
        <v>70</v>
      </c>
      <c r="M94" s="137">
        <f t="shared" si="102"/>
        <v>4.6666666666666669E-2</v>
      </c>
      <c r="N94" s="418"/>
      <c r="O94" s="347">
        <v>2200</v>
      </c>
      <c r="P94" s="135">
        <v>1999</v>
      </c>
      <c r="Q94" s="136">
        <f t="shared" si="103"/>
        <v>-201</v>
      </c>
      <c r="R94" s="137">
        <f t="shared" si="104"/>
        <v>-9.1363636363636369E-2</v>
      </c>
      <c r="S94" s="418"/>
      <c r="T94" s="135">
        <f t="shared" ref="T94" si="122">D94</f>
        <v>3700</v>
      </c>
      <c r="U94" s="135"/>
      <c r="V94" s="136">
        <f t="shared" si="106"/>
        <v>-3700</v>
      </c>
      <c r="W94" s="137">
        <f t="shared" si="107"/>
        <v>-1</v>
      </c>
      <c r="X94" s="418"/>
    </row>
    <row r="95" spans="1:24" s="2" customFormat="1" ht="17.100000000000001" customHeight="1" x14ac:dyDescent="0.2">
      <c r="A95" s="207">
        <v>2269</v>
      </c>
      <c r="B95" s="48" t="s">
        <v>41</v>
      </c>
      <c r="C95" s="158"/>
      <c r="D95" s="347"/>
      <c r="E95" s="135"/>
      <c r="F95" s="135"/>
      <c r="G95" s="136">
        <f t="shared" si="95"/>
        <v>0</v>
      </c>
      <c r="H95" s="137" t="str">
        <f t="shared" si="96"/>
        <v>-</v>
      </c>
      <c r="I95" s="426"/>
      <c r="J95" s="347"/>
      <c r="K95" s="324"/>
      <c r="L95" s="136">
        <f t="shared" si="101"/>
        <v>0</v>
      </c>
      <c r="M95" s="137" t="str">
        <f t="shared" si="102"/>
        <v>-</v>
      </c>
      <c r="N95" s="419"/>
      <c r="O95" s="347"/>
      <c r="P95" s="135"/>
      <c r="Q95" s="136">
        <f t="shared" si="103"/>
        <v>0</v>
      </c>
      <c r="R95" s="137" t="str">
        <f t="shared" si="104"/>
        <v>-</v>
      </c>
      <c r="S95" s="419"/>
      <c r="T95" s="135"/>
      <c r="U95" s="135"/>
      <c r="V95" s="136">
        <f t="shared" si="106"/>
        <v>0</v>
      </c>
      <c r="W95" s="137" t="str">
        <f t="shared" si="107"/>
        <v>-</v>
      </c>
      <c r="X95" s="419"/>
    </row>
    <row r="96" spans="1:24" s="208" customFormat="1" ht="17.100000000000001" hidden="1" customHeight="1" x14ac:dyDescent="0.2">
      <c r="A96" s="154">
        <v>2270</v>
      </c>
      <c r="B96" s="165" t="s">
        <v>243</v>
      </c>
      <c r="C96" s="201">
        <f>SUM(C97:C101)</f>
        <v>0</v>
      </c>
      <c r="D96" s="352">
        <f>SUM(D97:D101)</f>
        <v>0</v>
      </c>
      <c r="E96" s="201">
        <f>SUM(E97:E101)</f>
        <v>0</v>
      </c>
      <c r="F96" s="201">
        <f>SUM(F97:F101)</f>
        <v>0</v>
      </c>
      <c r="G96" s="215">
        <f t="shared" si="95"/>
        <v>0</v>
      </c>
      <c r="H96" s="216" t="str">
        <f t="shared" si="96"/>
        <v>-</v>
      </c>
      <c r="I96" s="424"/>
      <c r="J96" s="354">
        <f>SUM(J97:J101)</f>
        <v>0</v>
      </c>
      <c r="K96" s="328">
        <f>SUM(K97:K101)</f>
        <v>0</v>
      </c>
      <c r="L96" s="215">
        <f>K96-J96</f>
        <v>0</v>
      </c>
      <c r="M96" s="216" t="str">
        <f>IFERROR(L96/ABS(J96), "-")</f>
        <v>-</v>
      </c>
      <c r="N96" s="417"/>
      <c r="O96" s="354">
        <f>SUM(O97:O101)</f>
        <v>0</v>
      </c>
      <c r="P96" s="211">
        <f>SUM(P97:P101)</f>
        <v>0</v>
      </c>
      <c r="Q96" s="215">
        <f>P96-O96</f>
        <v>0</v>
      </c>
      <c r="R96" s="216" t="str">
        <f>IFERROR(Q96/ABS(O96), "-")</f>
        <v>-</v>
      </c>
      <c r="S96" s="417"/>
      <c r="T96" s="211">
        <f>SUM(T97:T101)</f>
        <v>0</v>
      </c>
      <c r="U96" s="201">
        <f t="shared" ref="U96" si="123">SUM(U98:U101)</f>
        <v>0</v>
      </c>
      <c r="V96" s="215">
        <f t="shared" si="106"/>
        <v>0</v>
      </c>
      <c r="W96" s="216" t="str">
        <f t="shared" si="107"/>
        <v>-</v>
      </c>
      <c r="X96" s="417"/>
    </row>
    <row r="97" spans="1:24" s="2" customFormat="1" ht="17.100000000000001" hidden="1" customHeight="1" x14ac:dyDescent="0.2">
      <c r="A97" s="207">
        <v>2272</v>
      </c>
      <c r="B97" s="159" t="s">
        <v>305</v>
      </c>
      <c r="C97" s="201"/>
      <c r="D97" s="352"/>
      <c r="E97" s="201"/>
      <c r="F97" s="201"/>
      <c r="G97" s="136">
        <f t="shared" si="95"/>
        <v>0</v>
      </c>
      <c r="H97" s="137" t="str">
        <f t="shared" si="96"/>
        <v>-</v>
      </c>
      <c r="I97" s="425"/>
      <c r="J97" s="347"/>
      <c r="K97" s="324"/>
      <c r="L97" s="136">
        <f t="shared" ref="L97" si="124">K97-J97</f>
        <v>0</v>
      </c>
      <c r="M97" s="137" t="str">
        <f t="shared" ref="M97" si="125">IFERROR(L97/ABS(J97), "-")</f>
        <v>-</v>
      </c>
      <c r="N97" s="418"/>
      <c r="O97" s="347"/>
      <c r="P97" s="135"/>
      <c r="Q97" s="136">
        <f t="shared" ref="Q97" si="126">P97-O97</f>
        <v>0</v>
      </c>
      <c r="R97" s="137" t="str">
        <f t="shared" ref="R97" si="127">IFERROR(Q97/ABS(O97), "-")</f>
        <v>-</v>
      </c>
      <c r="S97" s="418"/>
      <c r="T97" s="135"/>
      <c r="U97" s="201"/>
      <c r="V97" s="136">
        <f t="shared" si="106"/>
        <v>0</v>
      </c>
      <c r="W97" s="137" t="str">
        <f t="shared" si="107"/>
        <v>-</v>
      </c>
      <c r="X97" s="418"/>
    </row>
    <row r="98" spans="1:24" s="2" customFormat="1" ht="17.100000000000001" hidden="1" customHeight="1" x14ac:dyDescent="0.2">
      <c r="A98" s="207">
        <v>2272</v>
      </c>
      <c r="B98" s="159" t="s">
        <v>42</v>
      </c>
      <c r="C98" s="158"/>
      <c r="D98" s="347"/>
      <c r="E98" s="135"/>
      <c r="F98" s="135"/>
      <c r="G98" s="136">
        <f t="shared" si="95"/>
        <v>0</v>
      </c>
      <c r="H98" s="137" t="str">
        <f t="shared" si="96"/>
        <v>-</v>
      </c>
      <c r="I98" s="425"/>
      <c r="J98" s="347"/>
      <c r="K98" s="324"/>
      <c r="L98" s="136">
        <f t="shared" si="101"/>
        <v>0</v>
      </c>
      <c r="M98" s="137" t="str">
        <f t="shared" si="102"/>
        <v>-</v>
      </c>
      <c r="N98" s="418"/>
      <c r="O98" s="347"/>
      <c r="P98" s="135"/>
      <c r="Q98" s="136">
        <f t="shared" si="103"/>
        <v>0</v>
      </c>
      <c r="R98" s="137" t="str">
        <f t="shared" si="104"/>
        <v>-</v>
      </c>
      <c r="S98" s="418"/>
      <c r="T98" s="135"/>
      <c r="U98" s="135"/>
      <c r="V98" s="136">
        <f t="shared" si="106"/>
        <v>0</v>
      </c>
      <c r="W98" s="137" t="str">
        <f t="shared" si="107"/>
        <v>-</v>
      </c>
      <c r="X98" s="418"/>
    </row>
    <row r="99" spans="1:24" s="2" customFormat="1" ht="17.100000000000001" hidden="1" customHeight="1" x14ac:dyDescent="0.2">
      <c r="A99" s="207">
        <v>2273</v>
      </c>
      <c r="B99" s="159" t="s">
        <v>43</v>
      </c>
      <c r="C99" s="158"/>
      <c r="D99" s="347"/>
      <c r="E99" s="135"/>
      <c r="F99" s="135"/>
      <c r="G99" s="136">
        <f t="shared" si="95"/>
        <v>0</v>
      </c>
      <c r="H99" s="137" t="str">
        <f t="shared" si="96"/>
        <v>-</v>
      </c>
      <c r="I99" s="425"/>
      <c r="J99" s="347"/>
      <c r="K99" s="324"/>
      <c r="L99" s="136">
        <f t="shared" si="101"/>
        <v>0</v>
      </c>
      <c r="M99" s="137" t="str">
        <f t="shared" si="102"/>
        <v>-</v>
      </c>
      <c r="N99" s="418"/>
      <c r="O99" s="347"/>
      <c r="P99" s="135"/>
      <c r="Q99" s="136">
        <f t="shared" si="103"/>
        <v>0</v>
      </c>
      <c r="R99" s="137" t="str">
        <f t="shared" si="104"/>
        <v>-</v>
      </c>
      <c r="S99" s="418"/>
      <c r="T99" s="135"/>
      <c r="U99" s="135"/>
      <c r="V99" s="136">
        <f t="shared" si="106"/>
        <v>0</v>
      </c>
      <c r="W99" s="137" t="str">
        <f t="shared" si="107"/>
        <v>-</v>
      </c>
      <c r="X99" s="418"/>
    </row>
    <row r="100" spans="1:24" s="2" customFormat="1" ht="17.100000000000001" hidden="1" customHeight="1" x14ac:dyDescent="0.2">
      <c r="A100" s="207">
        <v>2274</v>
      </c>
      <c r="B100" s="159" t="s">
        <v>244</v>
      </c>
      <c r="C100" s="158"/>
      <c r="D100" s="347"/>
      <c r="E100" s="135"/>
      <c r="F100" s="135"/>
      <c r="G100" s="136">
        <f t="shared" si="95"/>
        <v>0</v>
      </c>
      <c r="H100" s="137" t="str">
        <f t="shared" si="96"/>
        <v>-</v>
      </c>
      <c r="I100" s="425"/>
      <c r="J100" s="347"/>
      <c r="K100" s="324"/>
      <c r="L100" s="136">
        <f t="shared" si="101"/>
        <v>0</v>
      </c>
      <c r="M100" s="137" t="str">
        <f t="shared" si="102"/>
        <v>-</v>
      </c>
      <c r="N100" s="418"/>
      <c r="O100" s="347"/>
      <c r="P100" s="135"/>
      <c r="Q100" s="136">
        <f t="shared" si="103"/>
        <v>0</v>
      </c>
      <c r="R100" s="137" t="str">
        <f t="shared" si="104"/>
        <v>-</v>
      </c>
      <c r="S100" s="418"/>
      <c r="T100" s="135"/>
      <c r="U100" s="135"/>
      <c r="V100" s="136">
        <f t="shared" si="106"/>
        <v>0</v>
      </c>
      <c r="W100" s="137" t="str">
        <f t="shared" si="107"/>
        <v>-</v>
      </c>
      <c r="X100" s="418"/>
    </row>
    <row r="101" spans="1:24" s="2" customFormat="1" ht="17.100000000000001" hidden="1" customHeight="1" x14ac:dyDescent="0.2">
      <c r="A101" s="207">
        <v>2276</v>
      </c>
      <c r="B101" s="159" t="s">
        <v>133</v>
      </c>
      <c r="C101" s="158"/>
      <c r="D101" s="347"/>
      <c r="E101" s="135"/>
      <c r="F101" s="135"/>
      <c r="G101" s="136">
        <f t="shared" si="95"/>
        <v>0</v>
      </c>
      <c r="H101" s="137" t="str">
        <f t="shared" si="96"/>
        <v>-</v>
      </c>
      <c r="I101" s="426"/>
      <c r="J101" s="347"/>
      <c r="K101" s="324"/>
      <c r="L101" s="136">
        <f t="shared" si="101"/>
        <v>0</v>
      </c>
      <c r="M101" s="137" t="str">
        <f t="shared" si="102"/>
        <v>-</v>
      </c>
      <c r="N101" s="419"/>
      <c r="O101" s="347"/>
      <c r="P101" s="135"/>
      <c r="Q101" s="136">
        <f t="shared" si="103"/>
        <v>0</v>
      </c>
      <c r="R101" s="137" t="str">
        <f t="shared" si="104"/>
        <v>-</v>
      </c>
      <c r="S101" s="419"/>
      <c r="T101" s="135"/>
      <c r="U101" s="135"/>
      <c r="V101" s="136">
        <f t="shared" si="106"/>
        <v>0</v>
      </c>
      <c r="W101" s="137" t="str">
        <f t="shared" si="107"/>
        <v>-</v>
      </c>
      <c r="X101" s="419"/>
    </row>
    <row r="102" spans="1:24" s="208" customFormat="1" ht="18" hidden="1" customHeight="1" x14ac:dyDescent="0.2">
      <c r="A102" s="154">
        <v>2280</v>
      </c>
      <c r="B102" s="162" t="s">
        <v>306</v>
      </c>
      <c r="C102" s="163"/>
      <c r="D102" s="355"/>
      <c r="E102" s="163"/>
      <c r="F102" s="163"/>
      <c r="G102" s="215">
        <f t="shared" si="95"/>
        <v>0</v>
      </c>
      <c r="H102" s="216" t="str">
        <f t="shared" si="96"/>
        <v>-</v>
      </c>
      <c r="I102" s="302"/>
      <c r="J102" s="355"/>
      <c r="K102" s="329"/>
      <c r="L102" s="215">
        <f t="shared" si="101"/>
        <v>0</v>
      </c>
      <c r="M102" s="216" t="str">
        <f t="shared" si="102"/>
        <v>-</v>
      </c>
      <c r="N102" s="217"/>
      <c r="O102" s="355"/>
      <c r="P102" s="163"/>
      <c r="Q102" s="215">
        <f t="shared" si="103"/>
        <v>0</v>
      </c>
      <c r="R102" s="216" t="str">
        <f t="shared" si="104"/>
        <v>-</v>
      </c>
      <c r="S102" s="217"/>
      <c r="T102" s="163"/>
      <c r="U102" s="163"/>
      <c r="V102" s="215">
        <f t="shared" si="106"/>
        <v>0</v>
      </c>
      <c r="W102" s="216" t="str">
        <f t="shared" si="107"/>
        <v>-</v>
      </c>
      <c r="X102" s="217"/>
    </row>
    <row r="103" spans="1:24" s="4" customFormat="1" ht="17.100000000000001" customHeight="1" x14ac:dyDescent="0.2">
      <c r="A103" s="119">
        <v>2300</v>
      </c>
      <c r="B103" s="180" t="s">
        <v>44</v>
      </c>
      <c r="C103" s="179">
        <f>C104+C109+C113+C114+C118+C119+C126+C127+C128</f>
        <v>916623</v>
      </c>
      <c r="D103" s="346">
        <f>D104+D109+D113+D114+D118+D119+D126+D127+D128</f>
        <v>823471</v>
      </c>
      <c r="E103" s="174">
        <f>E104+E109+E113+E114+E118+E119+E126+E127+E128</f>
        <v>198114</v>
      </c>
      <c r="F103" s="174">
        <f>F104+F109+F113+F114+F118+F119+F126+F127+F128</f>
        <v>192199</v>
      </c>
      <c r="G103" s="175">
        <f t="shared" si="95"/>
        <v>-5915</v>
      </c>
      <c r="H103" s="176">
        <f t="shared" si="96"/>
        <v>-2.9856547240477704E-2</v>
      </c>
      <c r="I103" s="297"/>
      <c r="J103" s="346">
        <f>J104+J109+J113+J114+J118+J119+J126+J127+J128</f>
        <v>405442</v>
      </c>
      <c r="K103" s="323">
        <f>K104+K109+K113+K114+K118+K119+K126+K127+K128</f>
        <v>389946</v>
      </c>
      <c r="L103" s="175">
        <f t="shared" si="101"/>
        <v>-15496</v>
      </c>
      <c r="M103" s="176">
        <f t="shared" si="102"/>
        <v>-3.8220016673161633E-2</v>
      </c>
      <c r="N103" s="185"/>
      <c r="O103" s="346">
        <f>O104+O109+O113+O114+O118+O119+O126+O127+O128</f>
        <v>620173</v>
      </c>
      <c r="P103" s="174">
        <f>P104+P109+P113+P114+P118+P119+P126+P127+P128</f>
        <v>592085</v>
      </c>
      <c r="Q103" s="175">
        <f t="shared" si="103"/>
        <v>-28088</v>
      </c>
      <c r="R103" s="176">
        <f t="shared" si="104"/>
        <v>-4.5290588271337189E-2</v>
      </c>
      <c r="S103" s="185"/>
      <c r="T103" s="174">
        <f>T104+T109+T113+T114+T118+T119+T126+T127+T128</f>
        <v>823471</v>
      </c>
      <c r="U103" s="174">
        <f>U104+U109+U113+U114+U118+U119+U126+U127+U128</f>
        <v>0</v>
      </c>
      <c r="V103" s="175">
        <f t="shared" si="106"/>
        <v>-823471</v>
      </c>
      <c r="W103" s="176">
        <f t="shared" si="107"/>
        <v>-1</v>
      </c>
      <c r="X103" s="185"/>
    </row>
    <row r="104" spans="1:24" s="208" customFormat="1" ht="17.100000000000001" customHeight="1" x14ac:dyDescent="0.2">
      <c r="A104" s="154">
        <v>2310</v>
      </c>
      <c r="B104" s="162" t="s">
        <v>245</v>
      </c>
      <c r="C104" s="201">
        <f t="shared" ref="C104:F104" si="128">SUM(C105:C108)</f>
        <v>80264</v>
      </c>
      <c r="D104" s="352">
        <f t="shared" si="128"/>
        <v>61987</v>
      </c>
      <c r="E104" s="201">
        <f t="shared" si="128"/>
        <v>12374</v>
      </c>
      <c r="F104" s="201">
        <f t="shared" si="128"/>
        <v>10237</v>
      </c>
      <c r="G104" s="215">
        <f t="shared" si="95"/>
        <v>-2137</v>
      </c>
      <c r="H104" s="216">
        <f t="shared" si="96"/>
        <v>-0.17270082430903508</v>
      </c>
      <c r="I104" s="424" t="s">
        <v>382</v>
      </c>
      <c r="J104" s="352">
        <f t="shared" ref="J104:K104" si="129">SUM(J105:J108)</f>
        <v>32241</v>
      </c>
      <c r="K104" s="327">
        <f t="shared" si="129"/>
        <v>25923</v>
      </c>
      <c r="L104" s="215">
        <f t="shared" si="101"/>
        <v>-6318</v>
      </c>
      <c r="M104" s="216">
        <f t="shared" si="102"/>
        <v>-0.19596166372010793</v>
      </c>
      <c r="N104" s="424" t="s">
        <v>401</v>
      </c>
      <c r="O104" s="352">
        <f t="shared" ref="O104:P104" si="130">SUM(O105:O108)</f>
        <v>58998</v>
      </c>
      <c r="P104" s="201">
        <f t="shared" si="130"/>
        <v>41728</v>
      </c>
      <c r="Q104" s="215">
        <f t="shared" si="103"/>
        <v>-17270</v>
      </c>
      <c r="R104" s="216">
        <f t="shared" si="104"/>
        <v>-0.29272178717922642</v>
      </c>
      <c r="S104" s="430" t="s">
        <v>401</v>
      </c>
      <c r="T104" s="201">
        <f t="shared" ref="T104:U104" si="131">SUM(T105:T108)</f>
        <v>61987</v>
      </c>
      <c r="U104" s="201">
        <f t="shared" si="131"/>
        <v>0</v>
      </c>
      <c r="V104" s="215">
        <f t="shared" si="106"/>
        <v>-61987</v>
      </c>
      <c r="W104" s="216">
        <f t="shared" si="107"/>
        <v>-1</v>
      </c>
      <c r="X104" s="417"/>
    </row>
    <row r="105" spans="1:24" s="2" customFormat="1" ht="17.100000000000001" customHeight="1" x14ac:dyDescent="0.2">
      <c r="A105" s="207">
        <v>2311</v>
      </c>
      <c r="B105" s="48" t="s">
        <v>45</v>
      </c>
      <c r="C105" s="158">
        <v>21416</v>
      </c>
      <c r="D105" s="347">
        <v>21600</v>
      </c>
      <c r="E105" s="135">
        <v>5400</v>
      </c>
      <c r="F105" s="135">
        <v>4823</v>
      </c>
      <c r="G105" s="136">
        <f t="shared" si="95"/>
        <v>-577</v>
      </c>
      <c r="H105" s="137">
        <f t="shared" si="96"/>
        <v>-0.10685185185185185</v>
      </c>
      <c r="I105" s="425"/>
      <c r="J105" s="347">
        <v>10800</v>
      </c>
      <c r="K105" s="324">
        <v>8964</v>
      </c>
      <c r="L105" s="136">
        <f t="shared" si="101"/>
        <v>-1836</v>
      </c>
      <c r="M105" s="137">
        <f t="shared" si="102"/>
        <v>-0.17</v>
      </c>
      <c r="N105" s="425"/>
      <c r="O105" s="347">
        <v>16200</v>
      </c>
      <c r="P105" s="135">
        <v>13609</v>
      </c>
      <c r="Q105" s="136">
        <f t="shared" si="103"/>
        <v>-2591</v>
      </c>
      <c r="R105" s="137">
        <f t="shared" si="104"/>
        <v>-0.15993827160493826</v>
      </c>
      <c r="S105" s="431"/>
      <c r="T105" s="135">
        <f>D105</f>
        <v>21600</v>
      </c>
      <c r="U105" s="135"/>
      <c r="V105" s="136">
        <f t="shared" si="106"/>
        <v>-21600</v>
      </c>
      <c r="W105" s="137">
        <f t="shared" si="107"/>
        <v>-1</v>
      </c>
      <c r="X105" s="418"/>
    </row>
    <row r="106" spans="1:24" s="2" customFormat="1" ht="17.100000000000001" customHeight="1" x14ac:dyDescent="0.2">
      <c r="A106" s="207">
        <v>2312</v>
      </c>
      <c r="B106" s="48" t="s">
        <v>46</v>
      </c>
      <c r="C106" s="158">
        <v>58278</v>
      </c>
      <c r="D106" s="347">
        <f>42736-3099</f>
        <v>39637</v>
      </c>
      <c r="E106" s="135">
        <v>6924</v>
      </c>
      <c r="F106" s="135">
        <v>5188</v>
      </c>
      <c r="G106" s="136">
        <f t="shared" si="95"/>
        <v>-1736</v>
      </c>
      <c r="H106" s="137">
        <f t="shared" si="96"/>
        <v>-0.2507221259387637</v>
      </c>
      <c r="I106" s="425"/>
      <c r="J106" s="347">
        <v>21026</v>
      </c>
      <c r="K106" s="324">
        <v>16145</v>
      </c>
      <c r="L106" s="136">
        <f t="shared" si="101"/>
        <v>-4881</v>
      </c>
      <c r="M106" s="137">
        <f t="shared" si="102"/>
        <v>-0.23214115856558545</v>
      </c>
      <c r="N106" s="425"/>
      <c r="O106" s="347">
        <v>42198</v>
      </c>
      <c r="P106" s="135">
        <v>27264</v>
      </c>
      <c r="Q106" s="136">
        <f t="shared" si="103"/>
        <v>-14934</v>
      </c>
      <c r="R106" s="137">
        <f t="shared" si="104"/>
        <v>-0.35390302857955352</v>
      </c>
      <c r="S106" s="431"/>
      <c r="T106" s="135">
        <f t="shared" ref="T106:T108" si="132">D106</f>
        <v>39637</v>
      </c>
      <c r="U106" s="135"/>
      <c r="V106" s="136">
        <f t="shared" si="106"/>
        <v>-39637</v>
      </c>
      <c r="W106" s="137">
        <f t="shared" si="107"/>
        <v>-1</v>
      </c>
      <c r="X106" s="418"/>
    </row>
    <row r="107" spans="1:24" s="4" customFormat="1" ht="17.100000000000001" customHeight="1" x14ac:dyDescent="0.2">
      <c r="A107" s="207">
        <v>2313</v>
      </c>
      <c r="B107" s="48" t="s">
        <v>246</v>
      </c>
      <c r="C107" s="158"/>
      <c r="D107" s="347"/>
      <c r="E107" s="135"/>
      <c r="F107" s="135"/>
      <c r="G107" s="136">
        <f t="shared" si="95"/>
        <v>0</v>
      </c>
      <c r="H107" s="137" t="str">
        <f t="shared" si="96"/>
        <v>-</v>
      </c>
      <c r="I107" s="425"/>
      <c r="J107" s="347"/>
      <c r="K107" s="324"/>
      <c r="L107" s="136">
        <f t="shared" si="101"/>
        <v>0</v>
      </c>
      <c r="M107" s="137" t="str">
        <f t="shared" si="102"/>
        <v>-</v>
      </c>
      <c r="N107" s="425"/>
      <c r="O107" s="347"/>
      <c r="P107" s="135"/>
      <c r="Q107" s="136">
        <f t="shared" si="103"/>
        <v>0</v>
      </c>
      <c r="R107" s="137" t="str">
        <f t="shared" si="104"/>
        <v>-</v>
      </c>
      <c r="S107" s="431"/>
      <c r="T107" s="135">
        <f t="shared" si="132"/>
        <v>0</v>
      </c>
      <c r="U107" s="135"/>
      <c r="V107" s="136">
        <f t="shared" si="106"/>
        <v>0</v>
      </c>
      <c r="W107" s="137" t="str">
        <f t="shared" si="107"/>
        <v>-</v>
      </c>
      <c r="X107" s="418"/>
    </row>
    <row r="108" spans="1:24" s="2" customFormat="1" ht="17.100000000000001" customHeight="1" x14ac:dyDescent="0.2">
      <c r="A108" s="207">
        <v>2314</v>
      </c>
      <c r="B108" s="159" t="s">
        <v>247</v>
      </c>
      <c r="C108" s="158">
        <v>570</v>
      </c>
      <c r="D108" s="347">
        <v>750</v>
      </c>
      <c r="E108" s="135">
        <v>50</v>
      </c>
      <c r="F108" s="135">
        <v>226</v>
      </c>
      <c r="G108" s="136">
        <f t="shared" si="95"/>
        <v>176</v>
      </c>
      <c r="H108" s="137">
        <f t="shared" si="96"/>
        <v>3.52</v>
      </c>
      <c r="I108" s="426"/>
      <c r="J108" s="347">
        <v>415</v>
      </c>
      <c r="K108" s="324">
        <v>814</v>
      </c>
      <c r="L108" s="136">
        <f t="shared" si="101"/>
        <v>399</v>
      </c>
      <c r="M108" s="137">
        <f t="shared" si="102"/>
        <v>0.96144578313253015</v>
      </c>
      <c r="N108" s="426"/>
      <c r="O108" s="347">
        <v>600</v>
      </c>
      <c r="P108" s="135">
        <v>855</v>
      </c>
      <c r="Q108" s="136">
        <f t="shared" si="103"/>
        <v>255</v>
      </c>
      <c r="R108" s="137">
        <f t="shared" si="104"/>
        <v>0.42499999999999999</v>
      </c>
      <c r="S108" s="432"/>
      <c r="T108" s="135">
        <f t="shared" si="132"/>
        <v>750</v>
      </c>
      <c r="U108" s="135"/>
      <c r="V108" s="136">
        <f t="shared" si="106"/>
        <v>-750</v>
      </c>
      <c r="W108" s="137">
        <f t="shared" si="107"/>
        <v>-1</v>
      </c>
      <c r="X108" s="419"/>
    </row>
    <row r="109" spans="1:24" s="208" customFormat="1" ht="17.100000000000001" customHeight="1" x14ac:dyDescent="0.2">
      <c r="A109" s="154">
        <v>2320</v>
      </c>
      <c r="B109" s="162" t="s">
        <v>47</v>
      </c>
      <c r="C109" s="201">
        <f t="shared" ref="C109:F109" si="133">SUM(C110:C112)</f>
        <v>111646</v>
      </c>
      <c r="D109" s="352">
        <f t="shared" si="133"/>
        <v>5500</v>
      </c>
      <c r="E109" s="201">
        <f t="shared" si="133"/>
        <v>2600</v>
      </c>
      <c r="F109" s="201">
        <f t="shared" si="133"/>
        <v>1332</v>
      </c>
      <c r="G109" s="215">
        <f t="shared" si="95"/>
        <v>-1268</v>
      </c>
      <c r="H109" s="216">
        <f t="shared" si="96"/>
        <v>-0.4876923076923077</v>
      </c>
      <c r="I109" s="424" t="s">
        <v>383</v>
      </c>
      <c r="J109" s="352">
        <f t="shared" ref="J109:K109" si="134">SUM(J110:J112)</f>
        <v>2700</v>
      </c>
      <c r="K109" s="327">
        <f t="shared" si="134"/>
        <v>2726</v>
      </c>
      <c r="L109" s="215">
        <f t="shared" si="101"/>
        <v>26</v>
      </c>
      <c r="M109" s="216">
        <f t="shared" si="102"/>
        <v>9.6296296296296303E-3</v>
      </c>
      <c r="N109" s="417"/>
      <c r="O109" s="352">
        <f t="shared" ref="O109:P109" si="135">SUM(O110:O112)</f>
        <v>4100</v>
      </c>
      <c r="P109" s="201">
        <f t="shared" si="135"/>
        <v>4312</v>
      </c>
      <c r="Q109" s="215">
        <f t="shared" si="103"/>
        <v>212</v>
      </c>
      <c r="R109" s="216">
        <f t="shared" si="104"/>
        <v>5.1707317073170729E-2</v>
      </c>
      <c r="S109" s="417"/>
      <c r="T109" s="201">
        <f t="shared" ref="T109:U109" si="136">SUM(T110:T112)</f>
        <v>5500</v>
      </c>
      <c r="U109" s="201">
        <f t="shared" si="136"/>
        <v>0</v>
      </c>
      <c r="V109" s="215">
        <f t="shared" si="106"/>
        <v>-5500</v>
      </c>
      <c r="W109" s="216">
        <f t="shared" si="107"/>
        <v>-1</v>
      </c>
      <c r="X109" s="417"/>
    </row>
    <row r="110" spans="1:24" s="2" customFormat="1" ht="17.100000000000001" customHeight="1" x14ac:dyDescent="0.2">
      <c r="A110" s="89">
        <v>2321</v>
      </c>
      <c r="B110" s="48" t="s">
        <v>48</v>
      </c>
      <c r="C110" s="158">
        <v>103850</v>
      </c>
      <c r="D110" s="347">
        <v>0</v>
      </c>
      <c r="E110" s="135"/>
      <c r="F110" s="135"/>
      <c r="G110" s="136">
        <f t="shared" si="95"/>
        <v>0</v>
      </c>
      <c r="H110" s="137" t="str">
        <f t="shared" si="96"/>
        <v>-</v>
      </c>
      <c r="I110" s="425"/>
      <c r="J110" s="347"/>
      <c r="K110" s="324"/>
      <c r="L110" s="136">
        <f t="shared" si="101"/>
        <v>0</v>
      </c>
      <c r="M110" s="137" t="str">
        <f t="shared" si="102"/>
        <v>-</v>
      </c>
      <c r="N110" s="418"/>
      <c r="O110" s="347"/>
      <c r="P110" s="135"/>
      <c r="Q110" s="136">
        <f t="shared" si="103"/>
        <v>0</v>
      </c>
      <c r="R110" s="137" t="str">
        <f t="shared" si="104"/>
        <v>-</v>
      </c>
      <c r="S110" s="418"/>
      <c r="T110" s="135">
        <f>D110</f>
        <v>0</v>
      </c>
      <c r="U110" s="135"/>
      <c r="V110" s="136">
        <f t="shared" si="106"/>
        <v>0</v>
      </c>
      <c r="W110" s="137" t="str">
        <f t="shared" si="107"/>
        <v>-</v>
      </c>
      <c r="X110" s="418"/>
    </row>
    <row r="111" spans="1:24" s="4" customFormat="1" ht="17.100000000000001" customHeight="1" x14ac:dyDescent="0.2">
      <c r="A111" s="89">
        <v>2322</v>
      </c>
      <c r="B111" s="48" t="s">
        <v>49</v>
      </c>
      <c r="C111" s="158">
        <v>7796</v>
      </c>
      <c r="D111" s="347">
        <v>5500</v>
      </c>
      <c r="E111" s="135">
        <v>2600</v>
      </c>
      <c r="F111" s="135">
        <v>1332</v>
      </c>
      <c r="G111" s="136">
        <f t="shared" si="95"/>
        <v>-1268</v>
      </c>
      <c r="H111" s="137">
        <f t="shared" si="96"/>
        <v>-0.4876923076923077</v>
      </c>
      <c r="I111" s="425"/>
      <c r="J111" s="347">
        <v>2700</v>
      </c>
      <c r="K111" s="324">
        <v>2726</v>
      </c>
      <c r="L111" s="136">
        <f t="shared" si="101"/>
        <v>26</v>
      </c>
      <c r="M111" s="137">
        <f t="shared" si="102"/>
        <v>9.6296296296296303E-3</v>
      </c>
      <c r="N111" s="418"/>
      <c r="O111" s="347">
        <v>4100</v>
      </c>
      <c r="P111" s="135">
        <v>4312</v>
      </c>
      <c r="Q111" s="136">
        <f t="shared" si="103"/>
        <v>212</v>
      </c>
      <c r="R111" s="137">
        <f t="shared" si="104"/>
        <v>5.1707317073170729E-2</v>
      </c>
      <c r="S111" s="418"/>
      <c r="T111" s="135">
        <f>D111</f>
        <v>5500</v>
      </c>
      <c r="U111" s="135"/>
      <c r="V111" s="136">
        <f t="shared" si="106"/>
        <v>-5500</v>
      </c>
      <c r="W111" s="137">
        <f t="shared" si="107"/>
        <v>-1</v>
      </c>
      <c r="X111" s="418"/>
    </row>
    <row r="112" spans="1:24" s="4" customFormat="1" ht="17.100000000000001" hidden="1" customHeight="1" x14ac:dyDescent="0.2">
      <c r="A112" s="89">
        <v>2329</v>
      </c>
      <c r="B112" s="48" t="s">
        <v>50</v>
      </c>
      <c r="C112" s="158"/>
      <c r="D112" s="347"/>
      <c r="E112" s="135"/>
      <c r="F112" s="135"/>
      <c r="G112" s="136">
        <f t="shared" si="95"/>
        <v>0</v>
      </c>
      <c r="H112" s="137" t="str">
        <f t="shared" si="96"/>
        <v>-</v>
      </c>
      <c r="I112" s="426"/>
      <c r="J112" s="347"/>
      <c r="K112" s="324"/>
      <c r="L112" s="136">
        <f t="shared" si="101"/>
        <v>0</v>
      </c>
      <c r="M112" s="137" t="str">
        <f t="shared" si="102"/>
        <v>-</v>
      </c>
      <c r="N112" s="419"/>
      <c r="O112" s="347"/>
      <c r="P112" s="135"/>
      <c r="Q112" s="136">
        <f t="shared" si="103"/>
        <v>0</v>
      </c>
      <c r="R112" s="137" t="str">
        <f t="shared" si="104"/>
        <v>-</v>
      </c>
      <c r="S112" s="419"/>
      <c r="T112" s="135"/>
      <c r="U112" s="135"/>
      <c r="V112" s="136">
        <f t="shared" si="106"/>
        <v>0</v>
      </c>
      <c r="W112" s="137" t="str">
        <f t="shared" si="107"/>
        <v>-</v>
      </c>
      <c r="X112" s="419"/>
    </row>
    <row r="113" spans="1:24" s="208" customFormat="1" ht="17.100000000000001" hidden="1" customHeight="1" x14ac:dyDescent="0.2">
      <c r="A113" s="154">
        <v>2330</v>
      </c>
      <c r="B113" s="165" t="s">
        <v>51</v>
      </c>
      <c r="C113" s="163"/>
      <c r="D113" s="355"/>
      <c r="E113" s="163"/>
      <c r="F113" s="163"/>
      <c r="G113" s="215">
        <f t="shared" si="95"/>
        <v>0</v>
      </c>
      <c r="H113" s="216" t="str">
        <f t="shared" si="96"/>
        <v>-</v>
      </c>
      <c r="I113" s="302"/>
      <c r="J113" s="355"/>
      <c r="K113" s="329"/>
      <c r="L113" s="215">
        <f t="shared" si="101"/>
        <v>0</v>
      </c>
      <c r="M113" s="216" t="str">
        <f t="shared" si="102"/>
        <v>-</v>
      </c>
      <c r="N113" s="217"/>
      <c r="O113" s="355"/>
      <c r="P113" s="163"/>
      <c r="Q113" s="215">
        <f t="shared" si="103"/>
        <v>0</v>
      </c>
      <c r="R113" s="216" t="str">
        <f t="shared" si="104"/>
        <v>-</v>
      </c>
      <c r="S113" s="217"/>
      <c r="T113" s="163"/>
      <c r="U113" s="163"/>
      <c r="V113" s="215">
        <f t="shared" si="106"/>
        <v>0</v>
      </c>
      <c r="W113" s="216" t="str">
        <f t="shared" si="107"/>
        <v>-</v>
      </c>
      <c r="X113" s="217"/>
    </row>
    <row r="114" spans="1:24" s="208" customFormat="1" ht="33.6" customHeight="1" x14ac:dyDescent="0.2">
      <c r="A114" s="154">
        <v>2340</v>
      </c>
      <c r="B114" s="162" t="s">
        <v>52</v>
      </c>
      <c r="C114" s="163">
        <f>C115+C116+C117</f>
        <v>292422</v>
      </c>
      <c r="D114" s="355">
        <f>D115+D116+D117</f>
        <v>268708</v>
      </c>
      <c r="E114" s="163">
        <f>E115+E116+E117</f>
        <v>72825</v>
      </c>
      <c r="F114" s="163">
        <f>F115+F116+F117</f>
        <v>66685</v>
      </c>
      <c r="G114" s="215">
        <f t="shared" si="95"/>
        <v>-6140</v>
      </c>
      <c r="H114" s="216">
        <f t="shared" si="96"/>
        <v>-8.431170614486784E-2</v>
      </c>
      <c r="I114" s="437"/>
      <c r="J114" s="355">
        <f>J115+J116+J117</f>
        <v>128350</v>
      </c>
      <c r="K114" s="329">
        <f>K115+K116+K117</f>
        <v>137709</v>
      </c>
      <c r="L114" s="215">
        <f t="shared" si="101"/>
        <v>9359</v>
      </c>
      <c r="M114" s="216">
        <f t="shared" si="102"/>
        <v>7.2917802882742508E-2</v>
      </c>
      <c r="N114" s="420"/>
      <c r="O114" s="355">
        <f>O115+O116+O117</f>
        <v>192775</v>
      </c>
      <c r="P114" s="163">
        <f>P115+P116+P117</f>
        <v>209550</v>
      </c>
      <c r="Q114" s="215">
        <f t="shared" si="103"/>
        <v>16775</v>
      </c>
      <c r="R114" s="216">
        <f t="shared" si="104"/>
        <v>8.7018544935805991E-2</v>
      </c>
      <c r="S114" s="420"/>
      <c r="T114" s="163">
        <f>T115+T116+T117</f>
        <v>268708</v>
      </c>
      <c r="U114" s="163">
        <f>U115+U116+U117</f>
        <v>0</v>
      </c>
      <c r="V114" s="215">
        <f t="shared" si="106"/>
        <v>-268708</v>
      </c>
      <c r="W114" s="216">
        <f t="shared" si="107"/>
        <v>-1</v>
      </c>
      <c r="X114" s="420"/>
    </row>
    <row r="115" spans="1:24" s="2" customFormat="1" ht="17.100000000000001" customHeight="1" x14ac:dyDescent="0.2">
      <c r="A115" s="218">
        <v>2341</v>
      </c>
      <c r="B115" s="166" t="s">
        <v>53</v>
      </c>
      <c r="C115" s="167">
        <v>173704</v>
      </c>
      <c r="D115" s="356">
        <v>183708</v>
      </c>
      <c r="E115" s="167">
        <v>43425</v>
      </c>
      <c r="F115" s="167">
        <f>2447+43522</f>
        <v>45969</v>
      </c>
      <c r="G115" s="152">
        <f t="shared" si="95"/>
        <v>2544</v>
      </c>
      <c r="H115" s="153">
        <f t="shared" si="96"/>
        <v>5.8583765112262522E-2</v>
      </c>
      <c r="I115" s="438"/>
      <c r="J115" s="356">
        <v>86850</v>
      </c>
      <c r="K115" s="330">
        <f>87676+4231</f>
        <v>91907</v>
      </c>
      <c r="L115" s="152">
        <f t="shared" si="101"/>
        <v>5057</v>
      </c>
      <c r="M115" s="153">
        <f t="shared" si="102"/>
        <v>5.8226827864133565E-2</v>
      </c>
      <c r="N115" s="421"/>
      <c r="O115" s="356">
        <v>130275</v>
      </c>
      <c r="P115" s="167">
        <f>138609+1008+6102</f>
        <v>145719</v>
      </c>
      <c r="Q115" s="152">
        <f t="shared" si="103"/>
        <v>15444</v>
      </c>
      <c r="R115" s="153">
        <f t="shared" si="104"/>
        <v>0.11854922279792746</v>
      </c>
      <c r="S115" s="421"/>
      <c r="T115" s="167">
        <f>D115</f>
        <v>183708</v>
      </c>
      <c r="U115" s="167"/>
      <c r="V115" s="152">
        <f t="shared" si="106"/>
        <v>-183708</v>
      </c>
      <c r="W115" s="153">
        <f t="shared" si="107"/>
        <v>-1</v>
      </c>
      <c r="X115" s="421"/>
    </row>
    <row r="116" spans="1:24" s="4" customFormat="1" ht="17.100000000000001" customHeight="1" x14ac:dyDescent="0.2">
      <c r="A116" s="218">
        <v>2343</v>
      </c>
      <c r="B116" s="166" t="s">
        <v>207</v>
      </c>
      <c r="C116" s="167"/>
      <c r="D116" s="356"/>
      <c r="E116" s="167"/>
      <c r="F116" s="167"/>
      <c r="G116" s="168">
        <f t="shared" si="95"/>
        <v>0</v>
      </c>
      <c r="H116" s="153" t="str">
        <f t="shared" si="96"/>
        <v>-</v>
      </c>
      <c r="I116" s="438"/>
      <c r="J116" s="356"/>
      <c r="K116" s="330"/>
      <c r="L116" s="168">
        <f t="shared" si="101"/>
        <v>0</v>
      </c>
      <c r="M116" s="153" t="str">
        <f t="shared" si="102"/>
        <v>-</v>
      </c>
      <c r="N116" s="421"/>
      <c r="O116" s="356"/>
      <c r="P116" s="167"/>
      <c r="Q116" s="168">
        <f t="shared" si="103"/>
        <v>0</v>
      </c>
      <c r="R116" s="153" t="str">
        <f t="shared" si="104"/>
        <v>-</v>
      </c>
      <c r="S116" s="421"/>
      <c r="T116" s="167">
        <f t="shared" ref="T116:T117" si="137">D116</f>
        <v>0</v>
      </c>
      <c r="U116" s="167"/>
      <c r="V116" s="168">
        <f t="shared" si="106"/>
        <v>0</v>
      </c>
      <c r="W116" s="153" t="str">
        <f t="shared" si="107"/>
        <v>-</v>
      </c>
      <c r="X116" s="421"/>
    </row>
    <row r="117" spans="1:24" s="4" customFormat="1" ht="17.100000000000001" customHeight="1" x14ac:dyDescent="0.2">
      <c r="A117" s="218">
        <v>2344</v>
      </c>
      <c r="B117" s="166" t="s">
        <v>208</v>
      </c>
      <c r="C117" s="167">
        <v>118718</v>
      </c>
      <c r="D117" s="356">
        <v>85000</v>
      </c>
      <c r="E117" s="167">
        <v>29400</v>
      </c>
      <c r="F117" s="167">
        <v>20716</v>
      </c>
      <c r="G117" s="152">
        <f t="shared" si="95"/>
        <v>-8684</v>
      </c>
      <c r="H117" s="153">
        <f t="shared" si="96"/>
        <v>-0.29537414965986397</v>
      </c>
      <c r="I117" s="439"/>
      <c r="J117" s="356">
        <v>41500</v>
      </c>
      <c r="K117" s="330">
        <v>45802</v>
      </c>
      <c r="L117" s="152">
        <f t="shared" si="101"/>
        <v>4302</v>
      </c>
      <c r="M117" s="153">
        <f t="shared" si="102"/>
        <v>0.10366265060240965</v>
      </c>
      <c r="N117" s="422"/>
      <c r="O117" s="356">
        <v>62500</v>
      </c>
      <c r="P117" s="167">
        <v>63831</v>
      </c>
      <c r="Q117" s="152">
        <f t="shared" si="103"/>
        <v>1331</v>
      </c>
      <c r="R117" s="153">
        <f t="shared" si="104"/>
        <v>2.1295999999999999E-2</v>
      </c>
      <c r="S117" s="422"/>
      <c r="T117" s="167">
        <f t="shared" si="137"/>
        <v>85000</v>
      </c>
      <c r="U117" s="167"/>
      <c r="V117" s="152">
        <f t="shared" si="106"/>
        <v>-85000</v>
      </c>
      <c r="W117" s="153">
        <f t="shared" si="107"/>
        <v>-1</v>
      </c>
      <c r="X117" s="422"/>
    </row>
    <row r="118" spans="1:24" s="208" customFormat="1" ht="17.100000000000001" customHeight="1" x14ac:dyDescent="0.2">
      <c r="A118" s="154">
        <v>2350</v>
      </c>
      <c r="B118" s="165" t="s">
        <v>248</v>
      </c>
      <c r="C118" s="163">
        <v>106111</v>
      </c>
      <c r="D118" s="355">
        <v>108468</v>
      </c>
      <c r="E118" s="163">
        <v>28240</v>
      </c>
      <c r="F118" s="163">
        <v>27202</v>
      </c>
      <c r="G118" s="215">
        <f t="shared" si="95"/>
        <v>-1038</v>
      </c>
      <c r="H118" s="216">
        <f t="shared" si="96"/>
        <v>-3.6756373937677056E-2</v>
      </c>
      <c r="I118" s="302"/>
      <c r="J118" s="355">
        <v>55000</v>
      </c>
      <c r="K118" s="329">
        <v>51246</v>
      </c>
      <c r="L118" s="215">
        <f t="shared" si="101"/>
        <v>-3754</v>
      </c>
      <c r="M118" s="216">
        <f t="shared" si="102"/>
        <v>-6.8254545454545457E-2</v>
      </c>
      <c r="N118" s="217"/>
      <c r="O118" s="355">
        <v>80288</v>
      </c>
      <c r="P118" s="163">
        <v>76477</v>
      </c>
      <c r="Q118" s="215">
        <f t="shared" si="103"/>
        <v>-3811</v>
      </c>
      <c r="R118" s="216">
        <f t="shared" si="104"/>
        <v>-4.7466620167397368E-2</v>
      </c>
      <c r="S118" s="217"/>
      <c r="T118" s="163">
        <f>D118</f>
        <v>108468</v>
      </c>
      <c r="U118" s="163"/>
      <c r="V118" s="215">
        <f t="shared" si="106"/>
        <v>-108468</v>
      </c>
      <c r="W118" s="216">
        <f t="shared" si="107"/>
        <v>-1</v>
      </c>
      <c r="X118" s="217"/>
    </row>
    <row r="119" spans="1:24" s="208" customFormat="1" ht="17.100000000000001" customHeight="1" x14ac:dyDescent="0.2">
      <c r="A119" s="154">
        <v>2360</v>
      </c>
      <c r="B119" s="162" t="s">
        <v>249</v>
      </c>
      <c r="C119" s="201">
        <f t="shared" ref="C119:F119" si="138">SUM(C120:C125)</f>
        <v>324473</v>
      </c>
      <c r="D119" s="352">
        <f t="shared" si="138"/>
        <v>377088</v>
      </c>
      <c r="E119" s="201">
        <f t="shared" si="138"/>
        <v>81645</v>
      </c>
      <c r="F119" s="201">
        <f t="shared" si="138"/>
        <v>86427</v>
      </c>
      <c r="G119" s="215">
        <f t="shared" si="95"/>
        <v>4782</v>
      </c>
      <c r="H119" s="216">
        <f t="shared" si="96"/>
        <v>5.8570641190519933E-2</v>
      </c>
      <c r="I119" s="424"/>
      <c r="J119" s="352">
        <f t="shared" ref="J119:K119" si="139">SUM(J120:J125)</f>
        <v>186291</v>
      </c>
      <c r="K119" s="327">
        <f t="shared" si="139"/>
        <v>171796</v>
      </c>
      <c r="L119" s="215">
        <f t="shared" si="101"/>
        <v>-14495</v>
      </c>
      <c r="M119" s="216">
        <f t="shared" si="102"/>
        <v>-7.7808375069112298E-2</v>
      </c>
      <c r="N119" s="424" t="s">
        <v>402</v>
      </c>
      <c r="O119" s="352">
        <f t="shared" ref="O119:P119" si="140">SUM(O120:O125)</f>
        <v>282722</v>
      </c>
      <c r="P119" s="201">
        <f t="shared" si="140"/>
        <v>258903</v>
      </c>
      <c r="Q119" s="215">
        <f t="shared" si="103"/>
        <v>-23819</v>
      </c>
      <c r="R119" s="216">
        <f t="shared" si="104"/>
        <v>-8.4248838081224672E-2</v>
      </c>
      <c r="S119" s="417"/>
      <c r="T119" s="201">
        <f t="shared" ref="T119:U119" si="141">SUM(T120:T125)</f>
        <v>377088</v>
      </c>
      <c r="U119" s="201">
        <f t="shared" si="141"/>
        <v>0</v>
      </c>
      <c r="V119" s="215">
        <f t="shared" si="106"/>
        <v>-377088</v>
      </c>
      <c r="W119" s="216">
        <f t="shared" si="107"/>
        <v>-1</v>
      </c>
      <c r="X119" s="417"/>
    </row>
    <row r="120" spans="1:24" s="2" customFormat="1" ht="17.100000000000001" customHeight="1" x14ac:dyDescent="0.2">
      <c r="A120" s="207">
        <v>2361</v>
      </c>
      <c r="B120" s="159" t="s">
        <v>54</v>
      </c>
      <c r="C120" s="158">
        <v>17967</v>
      </c>
      <c r="D120" s="347">
        <v>33238</v>
      </c>
      <c r="E120" s="135">
        <v>2499</v>
      </c>
      <c r="F120" s="135">
        <v>467</v>
      </c>
      <c r="G120" s="136">
        <f t="shared" si="95"/>
        <v>-2032</v>
      </c>
      <c r="H120" s="137">
        <f t="shared" si="96"/>
        <v>-0.81312525010004</v>
      </c>
      <c r="I120" s="425"/>
      <c r="J120" s="347">
        <v>14291</v>
      </c>
      <c r="K120" s="324">
        <v>861</v>
      </c>
      <c r="L120" s="136">
        <f t="shared" si="101"/>
        <v>-13430</v>
      </c>
      <c r="M120" s="137">
        <f t="shared" si="102"/>
        <v>-0.93975229165208873</v>
      </c>
      <c r="N120" s="425"/>
      <c r="O120" s="347">
        <v>24842</v>
      </c>
      <c r="P120" s="135">
        <v>1551</v>
      </c>
      <c r="Q120" s="136">
        <f t="shared" si="103"/>
        <v>-23291</v>
      </c>
      <c r="R120" s="137">
        <f t="shared" si="104"/>
        <v>-0.93756541341276867</v>
      </c>
      <c r="S120" s="418"/>
      <c r="T120" s="135">
        <f>D120</f>
        <v>33238</v>
      </c>
      <c r="U120" s="135"/>
      <c r="V120" s="136">
        <f t="shared" si="106"/>
        <v>-33238</v>
      </c>
      <c r="W120" s="137">
        <f t="shared" si="107"/>
        <v>-1</v>
      </c>
      <c r="X120" s="418"/>
    </row>
    <row r="121" spans="1:24" s="2" customFormat="1" ht="17.100000000000001" customHeight="1" x14ac:dyDescent="0.2">
      <c r="A121" s="207">
        <v>2362</v>
      </c>
      <c r="B121" s="159" t="s">
        <v>55</v>
      </c>
      <c r="C121" s="158"/>
      <c r="D121" s="347"/>
      <c r="E121" s="135"/>
      <c r="F121" s="135"/>
      <c r="G121" s="136">
        <f t="shared" si="95"/>
        <v>0</v>
      </c>
      <c r="H121" s="137" t="str">
        <f t="shared" si="96"/>
        <v>-</v>
      </c>
      <c r="I121" s="425"/>
      <c r="J121" s="347"/>
      <c r="K121" s="324"/>
      <c r="L121" s="136">
        <f t="shared" si="101"/>
        <v>0</v>
      </c>
      <c r="M121" s="137" t="str">
        <f t="shared" si="102"/>
        <v>-</v>
      </c>
      <c r="N121" s="425"/>
      <c r="O121" s="347"/>
      <c r="P121" s="135"/>
      <c r="Q121" s="136">
        <f t="shared" si="103"/>
        <v>0</v>
      </c>
      <c r="R121" s="137" t="str">
        <f t="shared" si="104"/>
        <v>-</v>
      </c>
      <c r="S121" s="418"/>
      <c r="T121" s="135">
        <f t="shared" ref="T121:T122" si="142">D121</f>
        <v>0</v>
      </c>
      <c r="U121" s="135"/>
      <c r="V121" s="136">
        <f t="shared" si="106"/>
        <v>0</v>
      </c>
      <c r="W121" s="137" t="str">
        <f t="shared" si="107"/>
        <v>-</v>
      </c>
      <c r="X121" s="418"/>
    </row>
    <row r="122" spans="1:24" s="2" customFormat="1" ht="17.100000000000001" customHeight="1" x14ac:dyDescent="0.2">
      <c r="A122" s="207">
        <v>2363</v>
      </c>
      <c r="B122" s="159" t="s">
        <v>56</v>
      </c>
      <c r="C122" s="158">
        <v>305728</v>
      </c>
      <c r="D122" s="347">
        <v>343850</v>
      </c>
      <c r="E122" s="135">
        <v>79146</v>
      </c>
      <c r="F122" s="135">
        <v>85960</v>
      </c>
      <c r="G122" s="136">
        <f t="shared" ref="G122:G173" si="143">F122-E122</f>
        <v>6814</v>
      </c>
      <c r="H122" s="137">
        <f t="shared" ref="H122:H173" si="144">IFERROR(G122/ABS(E122), "-")</f>
        <v>8.6094054026735395E-2</v>
      </c>
      <c r="I122" s="425"/>
      <c r="J122" s="347">
        <v>172000</v>
      </c>
      <c r="K122" s="324">
        <v>170935</v>
      </c>
      <c r="L122" s="136">
        <f t="shared" si="101"/>
        <v>-1065</v>
      </c>
      <c r="M122" s="137">
        <f t="shared" si="102"/>
        <v>-6.1918604651162792E-3</v>
      </c>
      <c r="N122" s="425"/>
      <c r="O122" s="347">
        <v>257880</v>
      </c>
      <c r="P122" s="135">
        <v>257021</v>
      </c>
      <c r="Q122" s="136">
        <f t="shared" si="103"/>
        <v>-859</v>
      </c>
      <c r="R122" s="137">
        <f t="shared" si="104"/>
        <v>-3.331006669768885E-3</v>
      </c>
      <c r="S122" s="418"/>
      <c r="T122" s="135">
        <f t="shared" si="142"/>
        <v>343850</v>
      </c>
      <c r="U122" s="135"/>
      <c r="V122" s="136">
        <f t="shared" si="106"/>
        <v>-343850</v>
      </c>
      <c r="W122" s="137">
        <f t="shared" si="107"/>
        <v>-1</v>
      </c>
      <c r="X122" s="418"/>
    </row>
    <row r="123" spans="1:24" s="2" customFormat="1" ht="17.100000000000001" customHeight="1" x14ac:dyDescent="0.2">
      <c r="A123" s="207">
        <v>2364</v>
      </c>
      <c r="B123" s="159" t="s">
        <v>250</v>
      </c>
      <c r="C123" s="158"/>
      <c r="D123" s="347"/>
      <c r="E123" s="135"/>
      <c r="F123" s="135"/>
      <c r="G123" s="136">
        <f t="shared" si="143"/>
        <v>0</v>
      </c>
      <c r="H123" s="137" t="str">
        <f t="shared" si="144"/>
        <v>-</v>
      </c>
      <c r="I123" s="425"/>
      <c r="J123" s="347"/>
      <c r="K123" s="324"/>
      <c r="L123" s="136">
        <f t="shared" si="101"/>
        <v>0</v>
      </c>
      <c r="M123" s="137" t="str">
        <f t="shared" si="102"/>
        <v>-</v>
      </c>
      <c r="N123" s="425"/>
      <c r="O123" s="347"/>
      <c r="P123" s="135"/>
      <c r="Q123" s="136">
        <f t="shared" si="103"/>
        <v>0</v>
      </c>
      <c r="R123" s="137" t="str">
        <f t="shared" si="104"/>
        <v>-</v>
      </c>
      <c r="S123" s="418"/>
      <c r="T123" s="135"/>
      <c r="U123" s="135"/>
      <c r="V123" s="136">
        <f t="shared" si="106"/>
        <v>0</v>
      </c>
      <c r="W123" s="137" t="str">
        <f t="shared" si="107"/>
        <v>-</v>
      </c>
      <c r="X123" s="418"/>
    </row>
    <row r="124" spans="1:24" s="4" customFormat="1" ht="17.100000000000001" customHeight="1" x14ac:dyDescent="0.2">
      <c r="A124" s="207">
        <v>2366</v>
      </c>
      <c r="B124" s="159" t="s">
        <v>57</v>
      </c>
      <c r="C124" s="158"/>
      <c r="D124" s="347"/>
      <c r="E124" s="135"/>
      <c r="F124" s="135"/>
      <c r="G124" s="136">
        <f t="shared" si="143"/>
        <v>0</v>
      </c>
      <c r="H124" s="137" t="str">
        <f t="shared" si="144"/>
        <v>-</v>
      </c>
      <c r="I124" s="425"/>
      <c r="J124" s="347"/>
      <c r="K124" s="324"/>
      <c r="L124" s="136">
        <f t="shared" si="101"/>
        <v>0</v>
      </c>
      <c r="M124" s="137" t="str">
        <f t="shared" si="102"/>
        <v>-</v>
      </c>
      <c r="N124" s="425"/>
      <c r="O124" s="347"/>
      <c r="P124" s="135"/>
      <c r="Q124" s="136">
        <f t="shared" si="103"/>
        <v>0</v>
      </c>
      <c r="R124" s="137" t="str">
        <f t="shared" si="104"/>
        <v>-</v>
      </c>
      <c r="S124" s="418"/>
      <c r="T124" s="135"/>
      <c r="U124" s="135"/>
      <c r="V124" s="136">
        <f t="shared" si="106"/>
        <v>0</v>
      </c>
      <c r="W124" s="137" t="str">
        <f t="shared" si="107"/>
        <v>-</v>
      </c>
      <c r="X124" s="418"/>
    </row>
    <row r="125" spans="1:24" s="4" customFormat="1" ht="35.1" customHeight="1" x14ac:dyDescent="0.2">
      <c r="A125" s="207">
        <v>2369</v>
      </c>
      <c r="B125" s="159" t="s">
        <v>134</v>
      </c>
      <c r="C125" s="158">
        <v>778</v>
      </c>
      <c r="D125" s="347">
        <v>0</v>
      </c>
      <c r="E125" s="135"/>
      <c r="F125" s="135"/>
      <c r="G125" s="136">
        <f t="shared" si="143"/>
        <v>0</v>
      </c>
      <c r="H125" s="137" t="str">
        <f t="shared" si="144"/>
        <v>-</v>
      </c>
      <c r="I125" s="426"/>
      <c r="J125" s="347"/>
      <c r="K125" s="324"/>
      <c r="L125" s="136">
        <f t="shared" si="101"/>
        <v>0</v>
      </c>
      <c r="M125" s="137" t="str">
        <f t="shared" si="102"/>
        <v>-</v>
      </c>
      <c r="N125" s="426"/>
      <c r="O125" s="347"/>
      <c r="P125" s="135">
        <v>331</v>
      </c>
      <c r="Q125" s="136">
        <f t="shared" si="103"/>
        <v>331</v>
      </c>
      <c r="R125" s="137" t="str">
        <f t="shared" si="104"/>
        <v>-</v>
      </c>
      <c r="S125" s="419"/>
      <c r="T125" s="135">
        <f>D125</f>
        <v>0</v>
      </c>
      <c r="U125" s="135"/>
      <c r="V125" s="136">
        <f t="shared" si="106"/>
        <v>0</v>
      </c>
      <c r="W125" s="137" t="str">
        <f t="shared" si="107"/>
        <v>-</v>
      </c>
      <c r="X125" s="419"/>
    </row>
    <row r="126" spans="1:24" s="208" customFormat="1" ht="17.100000000000001" customHeight="1" x14ac:dyDescent="0.2">
      <c r="A126" s="154">
        <v>2370</v>
      </c>
      <c r="B126" s="165" t="s">
        <v>58</v>
      </c>
      <c r="C126" s="163"/>
      <c r="D126" s="348"/>
      <c r="E126" s="142"/>
      <c r="F126" s="142"/>
      <c r="G126" s="215">
        <f t="shared" si="143"/>
        <v>0</v>
      </c>
      <c r="H126" s="216" t="str">
        <f t="shared" si="144"/>
        <v>-</v>
      </c>
      <c r="I126" s="302"/>
      <c r="J126" s="348"/>
      <c r="K126" s="324"/>
      <c r="L126" s="215">
        <f t="shared" si="101"/>
        <v>0</v>
      </c>
      <c r="M126" s="216" t="str">
        <f t="shared" si="102"/>
        <v>-</v>
      </c>
      <c r="N126" s="217"/>
      <c r="O126" s="348"/>
      <c r="P126" s="142"/>
      <c r="Q126" s="215">
        <f t="shared" si="103"/>
        <v>0</v>
      </c>
      <c r="R126" s="216" t="str">
        <f t="shared" si="104"/>
        <v>-</v>
      </c>
      <c r="S126" s="217"/>
      <c r="T126" s="142"/>
      <c r="U126" s="142"/>
      <c r="V126" s="215">
        <f t="shared" si="106"/>
        <v>0</v>
      </c>
      <c r="W126" s="216" t="str">
        <f t="shared" si="107"/>
        <v>-</v>
      </c>
      <c r="X126" s="217"/>
    </row>
    <row r="127" spans="1:24" s="208" customFormat="1" ht="17.100000000000001" customHeight="1" x14ac:dyDescent="0.2">
      <c r="A127" s="154">
        <v>2380</v>
      </c>
      <c r="B127" s="165" t="s">
        <v>59</v>
      </c>
      <c r="C127" s="163"/>
      <c r="D127" s="355"/>
      <c r="E127" s="163"/>
      <c r="F127" s="163"/>
      <c r="G127" s="215">
        <f t="shared" si="143"/>
        <v>0</v>
      </c>
      <c r="H127" s="216" t="str">
        <f t="shared" si="144"/>
        <v>-</v>
      </c>
      <c r="I127" s="302"/>
      <c r="J127" s="355"/>
      <c r="K127" s="329"/>
      <c r="L127" s="215">
        <f t="shared" si="101"/>
        <v>0</v>
      </c>
      <c r="M127" s="216" t="str">
        <f t="shared" si="102"/>
        <v>-</v>
      </c>
      <c r="N127" s="217"/>
      <c r="O127" s="355"/>
      <c r="P127" s="163"/>
      <c r="Q127" s="215">
        <f t="shared" si="103"/>
        <v>0</v>
      </c>
      <c r="R127" s="216" t="str">
        <f t="shared" si="104"/>
        <v>-</v>
      </c>
      <c r="S127" s="217"/>
      <c r="T127" s="163"/>
      <c r="U127" s="163"/>
      <c r="V127" s="215">
        <f t="shared" si="106"/>
        <v>0</v>
      </c>
      <c r="W127" s="216" t="str">
        <f t="shared" si="107"/>
        <v>-</v>
      </c>
      <c r="X127" s="217"/>
    </row>
    <row r="128" spans="1:24" s="210" customFormat="1" ht="17.100000000000001" customHeight="1" x14ac:dyDescent="0.2">
      <c r="A128" s="154">
        <v>2390</v>
      </c>
      <c r="B128" s="165" t="s">
        <v>60</v>
      </c>
      <c r="C128" s="163">
        <v>1707</v>
      </c>
      <c r="D128" s="348">
        <v>1720</v>
      </c>
      <c r="E128" s="142">
        <v>430</v>
      </c>
      <c r="F128" s="142">
        <v>316</v>
      </c>
      <c r="G128" s="215">
        <f t="shared" si="143"/>
        <v>-114</v>
      </c>
      <c r="H128" s="216">
        <f t="shared" si="144"/>
        <v>-0.26511627906976742</v>
      </c>
      <c r="I128" s="302"/>
      <c r="J128" s="348">
        <v>860</v>
      </c>
      <c r="K128" s="324">
        <v>546</v>
      </c>
      <c r="L128" s="215">
        <f t="shared" si="101"/>
        <v>-314</v>
      </c>
      <c r="M128" s="216">
        <f t="shared" si="102"/>
        <v>-0.36511627906976746</v>
      </c>
      <c r="N128" s="301" t="s">
        <v>403</v>
      </c>
      <c r="O128" s="142">
        <v>1290</v>
      </c>
      <c r="P128" s="142">
        <v>1115</v>
      </c>
      <c r="Q128" s="215">
        <f t="shared" si="103"/>
        <v>-175</v>
      </c>
      <c r="R128" s="216">
        <f t="shared" si="104"/>
        <v>-0.13565891472868216</v>
      </c>
      <c r="S128" s="217"/>
      <c r="T128" s="142">
        <f>D128</f>
        <v>1720</v>
      </c>
      <c r="U128" s="142"/>
      <c r="V128" s="215">
        <f t="shared" si="106"/>
        <v>-1720</v>
      </c>
      <c r="W128" s="216">
        <f t="shared" si="107"/>
        <v>-1</v>
      </c>
      <c r="X128" s="217"/>
    </row>
    <row r="129" spans="1:24" ht="17.100000000000001" customHeight="1" x14ac:dyDescent="0.2">
      <c r="A129" s="119">
        <v>2500</v>
      </c>
      <c r="B129" s="180" t="s">
        <v>251</v>
      </c>
      <c r="C129" s="179">
        <f t="shared" ref="C129:F129" si="145">SUM(C130+C138)</f>
        <v>14148</v>
      </c>
      <c r="D129" s="350">
        <f t="shared" si="145"/>
        <v>8381</v>
      </c>
      <c r="E129" s="179">
        <f t="shared" si="145"/>
        <v>2124</v>
      </c>
      <c r="F129" s="179">
        <f t="shared" si="145"/>
        <v>2124</v>
      </c>
      <c r="G129" s="175">
        <f t="shared" si="143"/>
        <v>0</v>
      </c>
      <c r="H129" s="176">
        <f t="shared" si="144"/>
        <v>0</v>
      </c>
      <c r="I129" s="297"/>
      <c r="J129" s="350">
        <f t="shared" ref="J129:K129" si="146">SUM(J130+J138)</f>
        <v>4393</v>
      </c>
      <c r="K129" s="326">
        <f t="shared" si="146"/>
        <v>4261</v>
      </c>
      <c r="L129" s="175">
        <f t="shared" si="101"/>
        <v>-132</v>
      </c>
      <c r="M129" s="176">
        <f t="shared" si="102"/>
        <v>-3.0047803323469156E-2</v>
      </c>
      <c r="N129" s="185"/>
      <c r="O129" s="179">
        <f t="shared" ref="O129:P129" si="147">SUM(O130+O138)</f>
        <v>6387</v>
      </c>
      <c r="P129" s="179">
        <f t="shared" si="147"/>
        <v>92104</v>
      </c>
      <c r="Q129" s="175">
        <f t="shared" si="103"/>
        <v>85717</v>
      </c>
      <c r="R129" s="176">
        <f t="shared" si="104"/>
        <v>13.420541725379678</v>
      </c>
      <c r="S129" s="185"/>
      <c r="T129" s="179">
        <f t="shared" ref="T129:U129" si="148">SUM(T130+T138)</f>
        <v>8381</v>
      </c>
      <c r="U129" s="179">
        <f t="shared" si="148"/>
        <v>0</v>
      </c>
      <c r="V129" s="175">
        <f t="shared" si="106"/>
        <v>-8381</v>
      </c>
      <c r="W129" s="176">
        <f t="shared" si="107"/>
        <v>-1</v>
      </c>
      <c r="X129" s="185"/>
    </row>
    <row r="130" spans="1:24" s="210" customFormat="1" ht="17.100000000000001" customHeight="1" x14ac:dyDescent="0.2">
      <c r="A130" s="154">
        <v>2510</v>
      </c>
      <c r="B130" s="165" t="s">
        <v>252</v>
      </c>
      <c r="C130" s="201">
        <f t="shared" ref="C130:F130" si="149">SUM(C131:C137)</f>
        <v>14147</v>
      </c>
      <c r="D130" s="352">
        <f t="shared" si="149"/>
        <v>8381</v>
      </c>
      <c r="E130" s="201">
        <f t="shared" si="149"/>
        <v>2124</v>
      </c>
      <c r="F130" s="201">
        <f t="shared" si="149"/>
        <v>2124</v>
      </c>
      <c r="G130" s="143">
        <f t="shared" si="143"/>
        <v>0</v>
      </c>
      <c r="H130" s="144">
        <f t="shared" si="144"/>
        <v>0</v>
      </c>
      <c r="I130" s="436"/>
      <c r="J130" s="352">
        <f t="shared" ref="J130:K130" si="150">SUM(J131:J137)</f>
        <v>4393</v>
      </c>
      <c r="K130" s="327">
        <f t="shared" si="150"/>
        <v>4261</v>
      </c>
      <c r="L130" s="143">
        <f t="shared" si="101"/>
        <v>-132</v>
      </c>
      <c r="M130" s="144">
        <f t="shared" si="102"/>
        <v>-3.0047803323469156E-2</v>
      </c>
      <c r="N130" s="423"/>
      <c r="O130" s="201">
        <f t="shared" ref="O130:P130" si="151">SUM(O131:O137)</f>
        <v>6387</v>
      </c>
      <c r="P130" s="201">
        <f t="shared" si="151"/>
        <v>92104</v>
      </c>
      <c r="Q130" s="143">
        <f t="shared" si="103"/>
        <v>85717</v>
      </c>
      <c r="R130" s="144">
        <f t="shared" si="104"/>
        <v>13.420541725379678</v>
      </c>
      <c r="S130" s="416" t="s">
        <v>422</v>
      </c>
      <c r="T130" s="201">
        <f t="shared" ref="T130:U130" si="152">SUM(T131:T137)</f>
        <v>8381</v>
      </c>
      <c r="U130" s="201">
        <f t="shared" si="152"/>
        <v>0</v>
      </c>
      <c r="V130" s="143">
        <f t="shared" si="106"/>
        <v>-8381</v>
      </c>
      <c r="W130" s="144">
        <f t="shared" si="107"/>
        <v>-1</v>
      </c>
      <c r="X130" s="423"/>
    </row>
    <row r="131" spans="1:24" ht="17.100000000000001" customHeight="1" x14ac:dyDescent="0.2">
      <c r="A131" s="207">
        <v>2512</v>
      </c>
      <c r="B131" s="159" t="s">
        <v>61</v>
      </c>
      <c r="C131" s="158"/>
      <c r="D131" s="347"/>
      <c r="E131" s="135"/>
      <c r="F131" s="135"/>
      <c r="G131" s="136">
        <f t="shared" si="143"/>
        <v>0</v>
      </c>
      <c r="H131" s="137" t="str">
        <f t="shared" si="144"/>
        <v>-</v>
      </c>
      <c r="I131" s="436"/>
      <c r="J131" s="347"/>
      <c r="K131" s="324"/>
      <c r="L131" s="136">
        <f t="shared" si="101"/>
        <v>0</v>
      </c>
      <c r="M131" s="137" t="str">
        <f t="shared" si="102"/>
        <v>-</v>
      </c>
      <c r="N131" s="423"/>
      <c r="O131" s="135"/>
      <c r="P131" s="135"/>
      <c r="Q131" s="136">
        <f t="shared" si="103"/>
        <v>0</v>
      </c>
      <c r="R131" s="137" t="str">
        <f t="shared" si="104"/>
        <v>-</v>
      </c>
      <c r="S131" s="416"/>
      <c r="T131" s="135"/>
      <c r="U131" s="135"/>
      <c r="V131" s="136">
        <f t="shared" si="106"/>
        <v>0</v>
      </c>
      <c r="W131" s="137" t="str">
        <f t="shared" si="107"/>
        <v>-</v>
      </c>
      <c r="X131" s="423"/>
    </row>
    <row r="132" spans="1:24" ht="17.100000000000001" customHeight="1" x14ac:dyDescent="0.2">
      <c r="A132" s="207">
        <v>2513</v>
      </c>
      <c r="B132" s="159" t="s">
        <v>253</v>
      </c>
      <c r="C132" s="158">
        <v>5672</v>
      </c>
      <c r="D132" s="347">
        <v>5672</v>
      </c>
      <c r="E132" s="135">
        <v>1418</v>
      </c>
      <c r="F132" s="135">
        <v>1418</v>
      </c>
      <c r="G132" s="136">
        <f t="shared" si="143"/>
        <v>0</v>
      </c>
      <c r="H132" s="137">
        <f t="shared" si="144"/>
        <v>0</v>
      </c>
      <c r="I132" s="436"/>
      <c r="J132" s="347">
        <v>2836</v>
      </c>
      <c r="K132" s="324">
        <v>2836</v>
      </c>
      <c r="L132" s="136">
        <f t="shared" si="101"/>
        <v>0</v>
      </c>
      <c r="M132" s="137">
        <f t="shared" si="102"/>
        <v>0</v>
      </c>
      <c r="N132" s="423"/>
      <c r="O132" s="135">
        <v>4254</v>
      </c>
      <c r="P132" s="135">
        <v>4204</v>
      </c>
      <c r="Q132" s="136">
        <f t="shared" si="103"/>
        <v>-50</v>
      </c>
      <c r="R132" s="137">
        <f t="shared" si="104"/>
        <v>-1.1753643629525154E-2</v>
      </c>
      <c r="S132" s="416"/>
      <c r="T132" s="135">
        <f>D132</f>
        <v>5672</v>
      </c>
      <c r="U132" s="135"/>
      <c r="V132" s="136">
        <f t="shared" si="106"/>
        <v>-5672</v>
      </c>
      <c r="W132" s="137">
        <f t="shared" si="107"/>
        <v>-1</v>
      </c>
      <c r="X132" s="423"/>
    </row>
    <row r="133" spans="1:24" ht="17.100000000000001" customHeight="1" x14ac:dyDescent="0.2">
      <c r="A133" s="207">
        <v>2514</v>
      </c>
      <c r="B133" s="159" t="s">
        <v>62</v>
      </c>
      <c r="C133" s="158"/>
      <c r="D133" s="347"/>
      <c r="E133" s="135"/>
      <c r="F133" s="135"/>
      <c r="G133" s="136">
        <f t="shared" si="143"/>
        <v>0</v>
      </c>
      <c r="H133" s="137" t="str">
        <f t="shared" si="144"/>
        <v>-</v>
      </c>
      <c r="I133" s="436"/>
      <c r="J133" s="347"/>
      <c r="K133" s="324"/>
      <c r="L133" s="136">
        <f t="shared" si="101"/>
        <v>0</v>
      </c>
      <c r="M133" s="137" t="str">
        <f t="shared" si="102"/>
        <v>-</v>
      </c>
      <c r="N133" s="423"/>
      <c r="O133" s="135"/>
      <c r="P133" s="135"/>
      <c r="Q133" s="136">
        <f t="shared" si="103"/>
        <v>0</v>
      </c>
      <c r="R133" s="137" t="str">
        <f t="shared" si="104"/>
        <v>-</v>
      </c>
      <c r="S133" s="416"/>
      <c r="T133" s="135">
        <f t="shared" ref="T133:T138" si="153">D133</f>
        <v>0</v>
      </c>
      <c r="U133" s="135"/>
      <c r="V133" s="136">
        <f t="shared" si="106"/>
        <v>0</v>
      </c>
      <c r="W133" s="137" t="str">
        <f t="shared" si="107"/>
        <v>-</v>
      </c>
      <c r="X133" s="423"/>
    </row>
    <row r="134" spans="1:24" ht="17.100000000000001" customHeight="1" x14ac:dyDescent="0.2">
      <c r="A134" s="207">
        <v>2515</v>
      </c>
      <c r="B134" s="159" t="s">
        <v>63</v>
      </c>
      <c r="C134" s="158">
        <v>5766</v>
      </c>
      <c r="D134" s="347">
        <v>0</v>
      </c>
      <c r="E134" s="135"/>
      <c r="F134" s="135"/>
      <c r="G134" s="136">
        <f t="shared" si="143"/>
        <v>0</v>
      </c>
      <c r="H134" s="137" t="str">
        <f t="shared" si="144"/>
        <v>-</v>
      </c>
      <c r="I134" s="436"/>
      <c r="J134" s="347"/>
      <c r="K134" s="324"/>
      <c r="L134" s="136">
        <f t="shared" si="101"/>
        <v>0</v>
      </c>
      <c r="M134" s="137" t="str">
        <f t="shared" si="102"/>
        <v>-</v>
      </c>
      <c r="N134" s="423"/>
      <c r="O134" s="135"/>
      <c r="P134" s="135"/>
      <c r="Q134" s="136">
        <f t="shared" si="103"/>
        <v>0</v>
      </c>
      <c r="R134" s="137" t="str">
        <f t="shared" si="104"/>
        <v>-</v>
      </c>
      <c r="S134" s="416"/>
      <c r="T134" s="135">
        <f t="shared" si="153"/>
        <v>0</v>
      </c>
      <c r="U134" s="135"/>
      <c r="V134" s="136">
        <f t="shared" si="106"/>
        <v>0</v>
      </c>
      <c r="W134" s="137" t="str">
        <f t="shared" si="107"/>
        <v>-</v>
      </c>
      <c r="X134" s="423"/>
    </row>
    <row r="135" spans="1:24" ht="17.100000000000001" customHeight="1" x14ac:dyDescent="0.2">
      <c r="A135" s="207">
        <v>2516</v>
      </c>
      <c r="B135" s="159" t="s">
        <v>135</v>
      </c>
      <c r="C135" s="158"/>
      <c r="D135" s="347"/>
      <c r="E135" s="135"/>
      <c r="F135" s="135"/>
      <c r="G135" s="136">
        <f t="shared" si="143"/>
        <v>0</v>
      </c>
      <c r="H135" s="137" t="str">
        <f t="shared" si="144"/>
        <v>-</v>
      </c>
      <c r="I135" s="436"/>
      <c r="J135" s="347"/>
      <c r="K135" s="324"/>
      <c r="L135" s="136">
        <f t="shared" ref="L135:L173" si="154">K135-J135</f>
        <v>0</v>
      </c>
      <c r="M135" s="137" t="str">
        <f t="shared" ref="M135:M173" si="155">IFERROR(L135/ABS(J135), "-")</f>
        <v>-</v>
      </c>
      <c r="N135" s="423"/>
      <c r="O135" s="135"/>
      <c r="P135" s="135"/>
      <c r="Q135" s="136">
        <f t="shared" ref="Q135:Q173" si="156">P135-O135</f>
        <v>0</v>
      </c>
      <c r="R135" s="137" t="str">
        <f t="shared" ref="R135:R173" si="157">IFERROR(Q135/ABS(O135), "-")</f>
        <v>-</v>
      </c>
      <c r="S135" s="416"/>
      <c r="T135" s="135">
        <f t="shared" si="153"/>
        <v>0</v>
      </c>
      <c r="U135" s="135"/>
      <c r="V135" s="136">
        <f t="shared" ref="V135:V173" si="158">U135-T135</f>
        <v>0</v>
      </c>
      <c r="W135" s="137" t="str">
        <f t="shared" ref="W135:W173" si="159">IFERROR(V135/ABS(T135), "-")</f>
        <v>-</v>
      </c>
      <c r="X135" s="423"/>
    </row>
    <row r="136" spans="1:24" ht="17.100000000000001" customHeight="1" x14ac:dyDescent="0.2">
      <c r="A136" s="218">
        <v>2518</v>
      </c>
      <c r="B136" s="166" t="s">
        <v>64</v>
      </c>
      <c r="C136" s="169">
        <v>2304</v>
      </c>
      <c r="D136" s="347">
        <v>2304</v>
      </c>
      <c r="E136" s="135">
        <v>576</v>
      </c>
      <c r="F136" s="135">
        <v>576</v>
      </c>
      <c r="G136" s="136">
        <f t="shared" si="143"/>
        <v>0</v>
      </c>
      <c r="H136" s="137">
        <f t="shared" si="144"/>
        <v>0</v>
      </c>
      <c r="I136" s="436"/>
      <c r="J136" s="347">
        <v>1152</v>
      </c>
      <c r="K136" s="324">
        <v>1148</v>
      </c>
      <c r="L136" s="136">
        <f t="shared" si="154"/>
        <v>-4</v>
      </c>
      <c r="M136" s="137">
        <f t="shared" si="155"/>
        <v>-3.472222222222222E-3</v>
      </c>
      <c r="N136" s="423"/>
      <c r="O136" s="135">
        <v>1728</v>
      </c>
      <c r="P136" s="135">
        <v>1715</v>
      </c>
      <c r="Q136" s="136">
        <f t="shared" si="156"/>
        <v>-13</v>
      </c>
      <c r="R136" s="137">
        <f t="shared" si="157"/>
        <v>-7.5231481481481477E-3</v>
      </c>
      <c r="S136" s="416"/>
      <c r="T136" s="135">
        <f t="shared" si="153"/>
        <v>2304</v>
      </c>
      <c r="U136" s="135"/>
      <c r="V136" s="136">
        <f t="shared" si="158"/>
        <v>-2304</v>
      </c>
      <c r="W136" s="137">
        <f t="shared" si="159"/>
        <v>-1</v>
      </c>
      <c r="X136" s="423"/>
    </row>
    <row r="137" spans="1:24" s="2" customFormat="1" ht="17.100000000000001" customHeight="1" x14ac:dyDescent="0.2">
      <c r="A137" s="207">
        <v>2519</v>
      </c>
      <c r="B137" s="159" t="s">
        <v>65</v>
      </c>
      <c r="C137" s="158">
        <v>405</v>
      </c>
      <c r="D137" s="347">
        <v>405</v>
      </c>
      <c r="E137" s="135">
        <v>130</v>
      </c>
      <c r="F137" s="135">
        <v>130</v>
      </c>
      <c r="G137" s="136">
        <f t="shared" si="143"/>
        <v>0</v>
      </c>
      <c r="H137" s="137">
        <f t="shared" si="144"/>
        <v>0</v>
      </c>
      <c r="I137" s="436"/>
      <c r="J137" s="347">
        <v>405</v>
      </c>
      <c r="K137" s="324">
        <v>277</v>
      </c>
      <c r="L137" s="136">
        <f t="shared" si="154"/>
        <v>-128</v>
      </c>
      <c r="M137" s="137">
        <f t="shared" si="155"/>
        <v>-0.31604938271604938</v>
      </c>
      <c r="N137" s="423"/>
      <c r="O137" s="135">
        <v>405</v>
      </c>
      <c r="P137" s="135">
        <v>86185</v>
      </c>
      <c r="Q137" s="136">
        <f t="shared" si="156"/>
        <v>85780</v>
      </c>
      <c r="R137" s="137">
        <f t="shared" si="157"/>
        <v>211.80246913580248</v>
      </c>
      <c r="S137" s="416"/>
      <c r="T137" s="135">
        <f t="shared" si="153"/>
        <v>405</v>
      </c>
      <c r="U137" s="135"/>
      <c r="V137" s="136">
        <f t="shared" si="158"/>
        <v>-405</v>
      </c>
      <c r="W137" s="137">
        <f t="shared" si="159"/>
        <v>-1</v>
      </c>
      <c r="X137" s="423"/>
    </row>
    <row r="138" spans="1:24" ht="17.100000000000001" customHeight="1" x14ac:dyDescent="0.2">
      <c r="A138" s="154">
        <v>2520</v>
      </c>
      <c r="B138" s="162" t="s">
        <v>254</v>
      </c>
      <c r="C138" s="163">
        <v>1</v>
      </c>
      <c r="D138" s="348">
        <v>0</v>
      </c>
      <c r="E138" s="142"/>
      <c r="F138" s="142"/>
      <c r="G138" s="143">
        <f t="shared" si="143"/>
        <v>0</v>
      </c>
      <c r="H138" s="144" t="str">
        <f t="shared" si="144"/>
        <v>-</v>
      </c>
      <c r="I138" s="303"/>
      <c r="J138" s="348"/>
      <c r="K138" s="324"/>
      <c r="L138" s="143">
        <f t="shared" si="154"/>
        <v>0</v>
      </c>
      <c r="M138" s="144" t="str">
        <f t="shared" si="155"/>
        <v>-</v>
      </c>
      <c r="N138" s="170"/>
      <c r="O138" s="348"/>
      <c r="P138" s="142"/>
      <c r="Q138" s="143">
        <f t="shared" si="156"/>
        <v>0</v>
      </c>
      <c r="R138" s="144" t="str">
        <f t="shared" si="157"/>
        <v>-</v>
      </c>
      <c r="S138" s="170"/>
      <c r="T138" s="135">
        <f t="shared" si="153"/>
        <v>0</v>
      </c>
      <c r="U138" s="142"/>
      <c r="V138" s="143">
        <f t="shared" si="158"/>
        <v>0</v>
      </c>
      <c r="W138" s="144" t="str">
        <f t="shared" si="159"/>
        <v>-</v>
      </c>
      <c r="X138" s="170"/>
    </row>
    <row r="139" spans="1:24" ht="32.1" customHeight="1" x14ac:dyDescent="0.2">
      <c r="A139" s="119">
        <v>2800</v>
      </c>
      <c r="B139" s="180" t="s">
        <v>333</v>
      </c>
      <c r="C139" s="256">
        <v>44868</v>
      </c>
      <c r="D139" s="357">
        <v>45200</v>
      </c>
      <c r="E139" s="257">
        <v>11300</v>
      </c>
      <c r="F139" s="257">
        <v>12599</v>
      </c>
      <c r="G139" s="175">
        <f t="shared" ref="G139" si="160">F139-E139</f>
        <v>1299</v>
      </c>
      <c r="H139" s="176">
        <f t="shared" ref="H139" si="161">IFERROR(G139/ABS(E139), "-")</f>
        <v>0.11495575221238938</v>
      </c>
      <c r="I139" s="304"/>
      <c r="J139" s="357">
        <v>22600</v>
      </c>
      <c r="K139" s="331">
        <v>27811</v>
      </c>
      <c r="L139" s="175">
        <f t="shared" ref="L139" si="162">K139-J139</f>
        <v>5211</v>
      </c>
      <c r="M139" s="176">
        <f t="shared" ref="M139" si="163">IFERROR(L139/ABS(J139), "-")</f>
        <v>0.23057522123893806</v>
      </c>
      <c r="N139" s="258"/>
      <c r="O139" s="357">
        <v>33900</v>
      </c>
      <c r="P139" s="257">
        <v>35869</v>
      </c>
      <c r="Q139" s="175">
        <f t="shared" ref="Q139" si="164">P139-O139</f>
        <v>1969</v>
      </c>
      <c r="R139" s="176">
        <f t="shared" ref="R139" si="165">IFERROR(Q139/ABS(O139), "-")</f>
        <v>5.8082595870206491E-2</v>
      </c>
      <c r="S139" s="258"/>
      <c r="T139" s="257">
        <f>D139</f>
        <v>45200</v>
      </c>
      <c r="U139" s="257"/>
      <c r="V139" s="175"/>
      <c r="W139" s="176"/>
      <c r="X139" s="258"/>
    </row>
    <row r="140" spans="1:24" ht="17.100000000000001" customHeight="1" x14ac:dyDescent="0.2">
      <c r="A140" s="202">
        <v>4000</v>
      </c>
      <c r="B140" s="212" t="s">
        <v>66</v>
      </c>
      <c r="C140" s="203">
        <f>C141+C142+C143</f>
        <v>0</v>
      </c>
      <c r="D140" s="345">
        <f>D141+D142+D143</f>
        <v>0</v>
      </c>
      <c r="E140" s="203">
        <f>E141+E142+E143</f>
        <v>0</v>
      </c>
      <c r="F140" s="203">
        <f>F141+F142+F143</f>
        <v>0</v>
      </c>
      <c r="G140" s="204">
        <f t="shared" si="143"/>
        <v>0</v>
      </c>
      <c r="H140" s="205" t="str">
        <f t="shared" si="144"/>
        <v>-</v>
      </c>
      <c r="I140" s="294"/>
      <c r="J140" s="345">
        <f>J141+J142+J143</f>
        <v>0</v>
      </c>
      <c r="K140" s="322">
        <f>K141+K142+K143</f>
        <v>0</v>
      </c>
      <c r="L140" s="204">
        <f t="shared" si="154"/>
        <v>0</v>
      </c>
      <c r="M140" s="205" t="str">
        <f t="shared" si="155"/>
        <v>-</v>
      </c>
      <c r="N140" s="206"/>
      <c r="O140" s="345">
        <f>O141+O142+O143</f>
        <v>0</v>
      </c>
      <c r="P140" s="203">
        <f>P141+P142+P143</f>
        <v>0</v>
      </c>
      <c r="Q140" s="204">
        <f t="shared" si="156"/>
        <v>0</v>
      </c>
      <c r="R140" s="205" t="str">
        <f t="shared" si="157"/>
        <v>-</v>
      </c>
      <c r="S140" s="206"/>
      <c r="T140" s="203">
        <f>T141+T142+T143</f>
        <v>0</v>
      </c>
      <c r="U140" s="203">
        <f>U141+U142+U143</f>
        <v>0</v>
      </c>
      <c r="V140" s="204">
        <f t="shared" si="158"/>
        <v>0</v>
      </c>
      <c r="W140" s="205" t="str">
        <f t="shared" si="159"/>
        <v>-</v>
      </c>
      <c r="X140" s="206"/>
    </row>
    <row r="141" spans="1:24" s="210" customFormat="1" ht="17.100000000000001" customHeight="1" x14ac:dyDescent="0.2">
      <c r="A141" s="219">
        <v>4100</v>
      </c>
      <c r="B141" s="162" t="s">
        <v>67</v>
      </c>
      <c r="C141" s="201"/>
      <c r="D141" s="352"/>
      <c r="E141" s="201"/>
      <c r="F141" s="201"/>
      <c r="G141" s="143">
        <f t="shared" si="143"/>
        <v>0</v>
      </c>
      <c r="H141" s="144" t="str">
        <f t="shared" si="144"/>
        <v>-</v>
      </c>
      <c r="I141" s="298"/>
      <c r="J141" s="352"/>
      <c r="K141" s="327"/>
      <c r="L141" s="143"/>
      <c r="M141" s="144" t="str">
        <f t="shared" si="155"/>
        <v>-</v>
      </c>
      <c r="N141" s="220"/>
      <c r="O141" s="352"/>
      <c r="P141" s="201"/>
      <c r="Q141" s="143">
        <f t="shared" si="156"/>
        <v>0</v>
      </c>
      <c r="R141" s="144" t="str">
        <f t="shared" si="157"/>
        <v>-</v>
      </c>
      <c r="S141" s="220"/>
      <c r="T141" s="201"/>
      <c r="U141" s="201"/>
      <c r="V141" s="143">
        <f t="shared" si="158"/>
        <v>0</v>
      </c>
      <c r="W141" s="144" t="str">
        <f t="shared" si="159"/>
        <v>-</v>
      </c>
      <c r="X141" s="220"/>
    </row>
    <row r="142" spans="1:24" s="210" customFormat="1" ht="17.100000000000001" customHeight="1" x14ac:dyDescent="0.2">
      <c r="A142" s="219">
        <v>4200</v>
      </c>
      <c r="B142" s="165" t="s">
        <v>68</v>
      </c>
      <c r="C142" s="201"/>
      <c r="D142" s="352"/>
      <c r="E142" s="201"/>
      <c r="F142" s="201"/>
      <c r="G142" s="143">
        <f t="shared" si="143"/>
        <v>0</v>
      </c>
      <c r="H142" s="144" t="str">
        <f t="shared" si="144"/>
        <v>-</v>
      </c>
      <c r="I142" s="298"/>
      <c r="J142" s="352"/>
      <c r="K142" s="327"/>
      <c r="L142" s="143">
        <f t="shared" si="154"/>
        <v>0</v>
      </c>
      <c r="M142" s="144" t="str">
        <f t="shared" si="155"/>
        <v>-</v>
      </c>
      <c r="N142" s="220"/>
      <c r="O142" s="352"/>
      <c r="P142" s="201"/>
      <c r="Q142" s="143">
        <f t="shared" si="156"/>
        <v>0</v>
      </c>
      <c r="R142" s="144" t="str">
        <f t="shared" si="157"/>
        <v>-</v>
      </c>
      <c r="S142" s="220"/>
      <c r="T142" s="201"/>
      <c r="U142" s="211"/>
      <c r="V142" s="143">
        <f t="shared" si="158"/>
        <v>0</v>
      </c>
      <c r="W142" s="144" t="str">
        <f t="shared" si="159"/>
        <v>-</v>
      </c>
      <c r="X142" s="220"/>
    </row>
    <row r="143" spans="1:24" s="210" customFormat="1" ht="17.100000000000001" customHeight="1" x14ac:dyDescent="0.2">
      <c r="A143" s="154">
        <v>4300</v>
      </c>
      <c r="B143" s="162" t="s">
        <v>69</v>
      </c>
      <c r="C143" s="201"/>
      <c r="D143" s="352"/>
      <c r="E143" s="201"/>
      <c r="F143" s="201"/>
      <c r="G143" s="143">
        <f t="shared" si="143"/>
        <v>0</v>
      </c>
      <c r="H143" s="144" t="str">
        <f t="shared" si="144"/>
        <v>-</v>
      </c>
      <c r="I143" s="298"/>
      <c r="J143" s="352"/>
      <c r="K143" s="327"/>
      <c r="L143" s="143">
        <f t="shared" si="154"/>
        <v>0</v>
      </c>
      <c r="M143" s="144" t="str">
        <f t="shared" si="155"/>
        <v>-</v>
      </c>
      <c r="N143" s="220"/>
      <c r="O143" s="352"/>
      <c r="P143" s="201"/>
      <c r="Q143" s="143">
        <f t="shared" si="156"/>
        <v>0</v>
      </c>
      <c r="R143" s="144" t="str">
        <f t="shared" si="157"/>
        <v>-</v>
      </c>
      <c r="S143" s="220"/>
      <c r="T143" s="201"/>
      <c r="U143" s="201"/>
      <c r="V143" s="143">
        <f t="shared" si="158"/>
        <v>0</v>
      </c>
      <c r="W143" s="144" t="str">
        <f t="shared" si="159"/>
        <v>-</v>
      </c>
      <c r="X143" s="220"/>
    </row>
    <row r="144" spans="1:24" ht="17.100000000000001" customHeight="1" x14ac:dyDescent="0.2">
      <c r="A144" s="230" t="s">
        <v>70</v>
      </c>
      <c r="B144" s="231" t="s">
        <v>71</v>
      </c>
      <c r="C144" s="232">
        <f>C32</f>
        <v>11403795</v>
      </c>
      <c r="D144" s="344">
        <f>D32</f>
        <v>12362143</v>
      </c>
      <c r="E144" s="232">
        <f>E32</f>
        <v>2959107</v>
      </c>
      <c r="F144" s="232">
        <f>F32</f>
        <v>2884495</v>
      </c>
      <c r="G144" s="233">
        <f t="shared" si="143"/>
        <v>-74612</v>
      </c>
      <c r="H144" s="234">
        <f t="shared" si="144"/>
        <v>-2.5214363657684567E-2</v>
      </c>
      <c r="I144" s="293"/>
      <c r="J144" s="344">
        <f>J32</f>
        <v>5823315</v>
      </c>
      <c r="K144" s="321">
        <f>K32</f>
        <v>5877994</v>
      </c>
      <c r="L144" s="233">
        <f t="shared" si="154"/>
        <v>54679</v>
      </c>
      <c r="M144" s="234">
        <f t="shared" si="155"/>
        <v>9.3896689428615825E-3</v>
      </c>
      <c r="N144" s="235"/>
      <c r="O144" s="344">
        <f>O32</f>
        <v>8630146</v>
      </c>
      <c r="P144" s="232">
        <f>P32</f>
        <v>8962870</v>
      </c>
      <c r="Q144" s="233">
        <f t="shared" si="156"/>
        <v>332724</v>
      </c>
      <c r="R144" s="234">
        <f t="shared" si="157"/>
        <v>3.85536930661428E-2</v>
      </c>
      <c r="S144" s="235"/>
      <c r="T144" s="232">
        <f>T32</f>
        <v>12362143</v>
      </c>
      <c r="U144" s="232">
        <f>U32</f>
        <v>0</v>
      </c>
      <c r="V144" s="233">
        <f t="shared" si="158"/>
        <v>-12362143</v>
      </c>
      <c r="W144" s="234">
        <f t="shared" si="159"/>
        <v>-1</v>
      </c>
      <c r="X144" s="235"/>
    </row>
    <row r="145" spans="1:24" ht="17.100000000000001" customHeight="1" x14ac:dyDescent="0.2">
      <c r="A145" s="230" t="s">
        <v>72</v>
      </c>
      <c r="B145" s="231" t="s">
        <v>202</v>
      </c>
      <c r="C145" s="232">
        <f>C3-C144</f>
        <v>852332</v>
      </c>
      <c r="D145" s="344">
        <f>D3-D144</f>
        <v>-60234</v>
      </c>
      <c r="E145" s="232">
        <f>E3-E144</f>
        <v>-104650</v>
      </c>
      <c r="F145" s="232">
        <f>F3-F144</f>
        <v>-147526</v>
      </c>
      <c r="G145" s="233">
        <f t="shared" si="143"/>
        <v>-42876</v>
      </c>
      <c r="H145" s="234">
        <f t="shared" si="144"/>
        <v>-0.40970855231724795</v>
      </c>
      <c r="I145" s="293"/>
      <c r="J145" s="344">
        <f>J3-J144</f>
        <v>130599</v>
      </c>
      <c r="K145" s="321">
        <f>K3-K144</f>
        <v>1461</v>
      </c>
      <c r="L145" s="233">
        <f t="shared" si="154"/>
        <v>-129138</v>
      </c>
      <c r="M145" s="234">
        <f t="shared" si="155"/>
        <v>-0.98881308432683257</v>
      </c>
      <c r="N145" s="235"/>
      <c r="O145" s="344">
        <f>O3-O144</f>
        <v>494589</v>
      </c>
      <c r="P145" s="232">
        <f>P3-P144</f>
        <v>164603</v>
      </c>
      <c r="Q145" s="233">
        <f t="shared" si="156"/>
        <v>-329986</v>
      </c>
      <c r="R145" s="234">
        <f t="shared" si="157"/>
        <v>-0.66719235567309421</v>
      </c>
      <c r="S145" s="235"/>
      <c r="T145" s="232">
        <f>T3-T144</f>
        <v>-60234</v>
      </c>
      <c r="U145" s="232">
        <f>U3-U144</f>
        <v>0</v>
      </c>
      <c r="V145" s="233">
        <f t="shared" si="158"/>
        <v>60234</v>
      </c>
      <c r="W145" s="234">
        <f t="shared" si="159"/>
        <v>1</v>
      </c>
      <c r="X145" s="235"/>
    </row>
    <row r="146" spans="1:24" s="2" customFormat="1" ht="17.100000000000001" customHeight="1" x14ac:dyDescent="0.2">
      <c r="A146" s="186">
        <v>5000</v>
      </c>
      <c r="B146" s="178" t="s">
        <v>322</v>
      </c>
      <c r="C146" s="184">
        <f t="shared" ref="C146:F146" si="166">C147+C148</f>
        <v>277163</v>
      </c>
      <c r="D146" s="358">
        <f t="shared" si="166"/>
        <v>299012</v>
      </c>
      <c r="E146" s="184">
        <f t="shared" si="166"/>
        <v>72647</v>
      </c>
      <c r="F146" s="184">
        <f t="shared" si="166"/>
        <v>72822</v>
      </c>
      <c r="G146" s="175">
        <f t="shared" si="143"/>
        <v>175</v>
      </c>
      <c r="H146" s="176">
        <f t="shared" si="144"/>
        <v>2.4089088331245611E-3</v>
      </c>
      <c r="I146" s="297"/>
      <c r="J146" s="358">
        <f t="shared" ref="J146:K146" si="167">J147+J148</f>
        <v>143270</v>
      </c>
      <c r="K146" s="332">
        <f t="shared" si="167"/>
        <v>143766</v>
      </c>
      <c r="L146" s="175">
        <f t="shared" si="154"/>
        <v>496</v>
      </c>
      <c r="M146" s="176">
        <f t="shared" si="155"/>
        <v>3.461994834927061E-3</v>
      </c>
      <c r="N146" s="185"/>
      <c r="O146" s="358">
        <f t="shared" ref="O146:P146" si="168">O147+O148</f>
        <v>219826</v>
      </c>
      <c r="P146" s="184">
        <f t="shared" si="168"/>
        <v>213591</v>
      </c>
      <c r="Q146" s="175">
        <f t="shared" si="156"/>
        <v>-6235</v>
      </c>
      <c r="R146" s="176">
        <f t="shared" si="157"/>
        <v>-2.8363341915878922E-2</v>
      </c>
      <c r="S146" s="185"/>
      <c r="T146" s="184">
        <f t="shared" ref="T146:U146" si="169">T147+T148</f>
        <v>299012</v>
      </c>
      <c r="U146" s="184">
        <f t="shared" si="169"/>
        <v>0</v>
      </c>
      <c r="V146" s="175">
        <f t="shared" si="158"/>
        <v>-299012</v>
      </c>
      <c r="W146" s="176">
        <f t="shared" si="159"/>
        <v>-1</v>
      </c>
      <c r="X146" s="185"/>
    </row>
    <row r="147" spans="1:24" ht="17.100000000000001" customHeight="1" x14ac:dyDescent="0.2">
      <c r="A147" s="11">
        <v>5100</v>
      </c>
      <c r="B147" s="141" t="s">
        <v>255</v>
      </c>
      <c r="C147" s="135">
        <v>5355</v>
      </c>
      <c r="D147" s="347">
        <v>3454</v>
      </c>
      <c r="E147" s="135">
        <v>965</v>
      </c>
      <c r="F147" s="135">
        <v>967</v>
      </c>
      <c r="G147" s="136">
        <f t="shared" si="143"/>
        <v>2</v>
      </c>
      <c r="H147" s="137">
        <f t="shared" si="144"/>
        <v>2.0725388601036268E-3</v>
      </c>
      <c r="I147" s="295"/>
      <c r="J147" s="347">
        <v>1895</v>
      </c>
      <c r="K147" s="324">
        <v>1907</v>
      </c>
      <c r="L147" s="136">
        <f t="shared" si="154"/>
        <v>12</v>
      </c>
      <c r="M147" s="137">
        <f t="shared" si="155"/>
        <v>6.3324538258575196E-3</v>
      </c>
      <c r="N147" s="164"/>
      <c r="O147" s="347">
        <v>2712</v>
      </c>
      <c r="P147" s="135">
        <v>2734</v>
      </c>
      <c r="Q147" s="136">
        <f t="shared" si="156"/>
        <v>22</v>
      </c>
      <c r="R147" s="137">
        <f t="shared" si="157"/>
        <v>8.1120943952802359E-3</v>
      </c>
      <c r="S147" s="164"/>
      <c r="T147" s="135">
        <f>D147</f>
        <v>3454</v>
      </c>
      <c r="U147" s="135"/>
      <c r="V147" s="136">
        <f t="shared" si="158"/>
        <v>-3454</v>
      </c>
      <c r="W147" s="137">
        <f t="shared" si="159"/>
        <v>-1</v>
      </c>
      <c r="X147" s="164"/>
    </row>
    <row r="148" spans="1:24" s="210" customFormat="1" ht="17.100000000000001" customHeight="1" x14ac:dyDescent="0.2">
      <c r="A148" s="221">
        <v>5200</v>
      </c>
      <c r="B148" s="141" t="s">
        <v>73</v>
      </c>
      <c r="C148" s="211">
        <f t="shared" ref="C148:F148" si="170">SUM(C149:C152)</f>
        <v>271808</v>
      </c>
      <c r="D148" s="354">
        <f t="shared" si="170"/>
        <v>295558</v>
      </c>
      <c r="E148" s="211">
        <f t="shared" si="170"/>
        <v>71682</v>
      </c>
      <c r="F148" s="211">
        <f t="shared" si="170"/>
        <v>71855</v>
      </c>
      <c r="G148" s="143">
        <f t="shared" si="143"/>
        <v>173</v>
      </c>
      <c r="H148" s="144">
        <f t="shared" si="144"/>
        <v>2.4134371250802153E-3</v>
      </c>
      <c r="I148" s="424"/>
      <c r="J148" s="354">
        <f t="shared" ref="J148:K148" si="171">SUM(J149:J152)</f>
        <v>141375</v>
      </c>
      <c r="K148" s="328">
        <f t="shared" si="171"/>
        <v>141859</v>
      </c>
      <c r="L148" s="143">
        <f t="shared" si="154"/>
        <v>484</v>
      </c>
      <c r="M148" s="144">
        <f t="shared" si="155"/>
        <v>3.4235190097259061E-3</v>
      </c>
      <c r="N148" s="417"/>
      <c r="O148" s="354">
        <f t="shared" ref="O148:P148" si="172">SUM(O149:O152)</f>
        <v>217114</v>
      </c>
      <c r="P148" s="211">
        <f t="shared" si="172"/>
        <v>210857</v>
      </c>
      <c r="Q148" s="143">
        <f t="shared" si="156"/>
        <v>-6257</v>
      </c>
      <c r="R148" s="144">
        <f t="shared" si="157"/>
        <v>-2.881896146724762E-2</v>
      </c>
      <c r="S148" s="417"/>
      <c r="T148" s="211">
        <f t="shared" ref="T148:U148" si="173">SUM(T149:T152)</f>
        <v>295558</v>
      </c>
      <c r="U148" s="211">
        <f t="shared" si="173"/>
        <v>0</v>
      </c>
      <c r="V148" s="143">
        <f t="shared" si="158"/>
        <v>-295558</v>
      </c>
      <c r="W148" s="144">
        <f t="shared" si="159"/>
        <v>-1</v>
      </c>
      <c r="X148" s="417"/>
    </row>
    <row r="149" spans="1:24" ht="17.100000000000001" customHeight="1" x14ac:dyDescent="0.2">
      <c r="A149" s="222">
        <v>5210</v>
      </c>
      <c r="B149" s="70" t="s">
        <v>74</v>
      </c>
      <c r="C149" s="135">
        <v>264073</v>
      </c>
      <c r="D149" s="347">
        <f>258610+21252</f>
        <v>279862</v>
      </c>
      <c r="E149" s="135">
        <v>67685</v>
      </c>
      <c r="F149" s="135">
        <f>67606+172+14</f>
        <v>67792</v>
      </c>
      <c r="G149" s="136">
        <f t="shared" si="143"/>
        <v>107</v>
      </c>
      <c r="H149" s="137">
        <f t="shared" si="144"/>
        <v>1.5808524783925536E-3</v>
      </c>
      <c r="I149" s="425"/>
      <c r="J149" s="347">
        <f>132782+599</f>
        <v>133381</v>
      </c>
      <c r="K149" s="324">
        <f>139291-K151</f>
        <v>133396</v>
      </c>
      <c r="L149" s="136">
        <f t="shared" si="154"/>
        <v>15</v>
      </c>
      <c r="M149" s="137">
        <f t="shared" si="155"/>
        <v>1.1245979562306476E-4</v>
      </c>
      <c r="N149" s="418"/>
      <c r="O149" s="347">
        <f>195539+9764</f>
        <v>205303</v>
      </c>
      <c r="P149" s="135">
        <f>207092-P151</f>
        <v>198029</v>
      </c>
      <c r="Q149" s="136">
        <f t="shared" si="156"/>
        <v>-7274</v>
      </c>
      <c r="R149" s="137">
        <f t="shared" si="157"/>
        <v>-3.543055873513782E-2</v>
      </c>
      <c r="S149" s="418"/>
      <c r="T149" s="135">
        <f>D149</f>
        <v>279862</v>
      </c>
      <c r="U149" s="135"/>
      <c r="V149" s="136">
        <f t="shared" si="158"/>
        <v>-279862</v>
      </c>
      <c r="W149" s="137">
        <f t="shared" si="159"/>
        <v>-1</v>
      </c>
      <c r="X149" s="418"/>
    </row>
    <row r="150" spans="1:24" ht="17.100000000000001" customHeight="1" x14ac:dyDescent="0.2">
      <c r="A150" s="222">
        <v>5220</v>
      </c>
      <c r="B150" s="70" t="s">
        <v>75</v>
      </c>
      <c r="C150" s="135">
        <v>4163</v>
      </c>
      <c r="D150" s="347">
        <v>4556</v>
      </c>
      <c r="E150" s="135">
        <v>1210</v>
      </c>
      <c r="F150" s="135">
        <v>1225</v>
      </c>
      <c r="G150" s="136">
        <f t="shared" si="143"/>
        <v>15</v>
      </c>
      <c r="H150" s="137">
        <f t="shared" si="144"/>
        <v>1.2396694214876033E-2</v>
      </c>
      <c r="I150" s="425"/>
      <c r="J150" s="347">
        <v>2420</v>
      </c>
      <c r="K150" s="324">
        <v>2568</v>
      </c>
      <c r="L150" s="136">
        <f t="shared" si="154"/>
        <v>148</v>
      </c>
      <c r="M150" s="137">
        <f t="shared" si="155"/>
        <v>6.1157024793388429E-2</v>
      </c>
      <c r="N150" s="418"/>
      <c r="O150" s="347">
        <v>3450</v>
      </c>
      <c r="P150" s="135">
        <v>3765</v>
      </c>
      <c r="Q150" s="136">
        <f t="shared" si="156"/>
        <v>315</v>
      </c>
      <c r="R150" s="137">
        <f t="shared" si="157"/>
        <v>9.1304347826086957E-2</v>
      </c>
      <c r="S150" s="418"/>
      <c r="T150" s="135">
        <f t="shared" ref="T150:T151" si="174">D150</f>
        <v>4556</v>
      </c>
      <c r="U150" s="135"/>
      <c r="V150" s="136">
        <f t="shared" si="158"/>
        <v>-4556</v>
      </c>
      <c r="W150" s="137">
        <f t="shared" si="159"/>
        <v>-1</v>
      </c>
      <c r="X150" s="418"/>
    </row>
    <row r="151" spans="1:24" ht="17.100000000000001" customHeight="1" x14ac:dyDescent="0.2">
      <c r="A151" s="222">
        <v>5230</v>
      </c>
      <c r="B151" s="70" t="s">
        <v>76</v>
      </c>
      <c r="C151" s="135">
        <v>3572</v>
      </c>
      <c r="D151" s="347">
        <v>11140</v>
      </c>
      <c r="E151" s="135">
        <v>2787</v>
      </c>
      <c r="F151" s="135">
        <v>2838</v>
      </c>
      <c r="G151" s="136">
        <f t="shared" si="143"/>
        <v>51</v>
      </c>
      <c r="H151" s="137">
        <f t="shared" si="144"/>
        <v>1.829924650161464E-2</v>
      </c>
      <c r="I151" s="425"/>
      <c r="J151" s="347">
        <v>5574</v>
      </c>
      <c r="K151" s="324">
        <v>5895</v>
      </c>
      <c r="L151" s="136">
        <f t="shared" si="154"/>
        <v>321</v>
      </c>
      <c r="M151" s="137">
        <f t="shared" si="155"/>
        <v>5.7588805166846072E-2</v>
      </c>
      <c r="N151" s="418"/>
      <c r="O151" s="347">
        <v>8361</v>
      </c>
      <c r="P151" s="135">
        <v>9063</v>
      </c>
      <c r="Q151" s="136">
        <f t="shared" si="156"/>
        <v>702</v>
      </c>
      <c r="R151" s="137">
        <f t="shared" si="157"/>
        <v>8.3961248654467163E-2</v>
      </c>
      <c r="S151" s="418"/>
      <c r="T151" s="135">
        <f t="shared" si="174"/>
        <v>11140</v>
      </c>
      <c r="U151" s="135"/>
      <c r="V151" s="136">
        <f t="shared" si="158"/>
        <v>-11140</v>
      </c>
      <c r="W151" s="137">
        <f t="shared" si="159"/>
        <v>-1</v>
      </c>
      <c r="X151" s="418"/>
    </row>
    <row r="152" spans="1:24" ht="17.100000000000001" customHeight="1" x14ac:dyDescent="0.2">
      <c r="A152" s="222">
        <v>5240</v>
      </c>
      <c r="B152" s="70" t="s">
        <v>206</v>
      </c>
      <c r="C152" s="135"/>
      <c r="D152" s="347"/>
      <c r="E152" s="135"/>
      <c r="F152" s="135"/>
      <c r="G152" s="136">
        <f t="shared" si="143"/>
        <v>0</v>
      </c>
      <c r="H152" s="137" t="str">
        <f t="shared" si="144"/>
        <v>-</v>
      </c>
      <c r="I152" s="426"/>
      <c r="J152" s="347"/>
      <c r="K152" s="324"/>
      <c r="L152" s="136">
        <f t="shared" si="154"/>
        <v>0</v>
      </c>
      <c r="M152" s="137" t="str">
        <f t="shared" si="155"/>
        <v>-</v>
      </c>
      <c r="N152" s="419"/>
      <c r="O152" s="347"/>
      <c r="P152" s="135"/>
      <c r="Q152" s="136">
        <f t="shared" si="156"/>
        <v>0</v>
      </c>
      <c r="R152" s="137" t="str">
        <f t="shared" si="157"/>
        <v>-</v>
      </c>
      <c r="S152" s="419"/>
      <c r="T152" s="135"/>
      <c r="U152" s="135"/>
      <c r="V152" s="136">
        <f t="shared" si="158"/>
        <v>0</v>
      </c>
      <c r="W152" s="137" t="str">
        <f t="shared" si="159"/>
        <v>-</v>
      </c>
      <c r="X152" s="419"/>
    </row>
    <row r="153" spans="1:24" ht="17.100000000000001" customHeight="1" x14ac:dyDescent="0.2">
      <c r="A153" s="230" t="s">
        <v>77</v>
      </c>
      <c r="B153" s="231" t="s">
        <v>203</v>
      </c>
      <c r="C153" s="232">
        <f t="shared" ref="C153:F153" si="175">C145-C146</f>
        <v>575169</v>
      </c>
      <c r="D153" s="344">
        <f t="shared" si="175"/>
        <v>-359246</v>
      </c>
      <c r="E153" s="232">
        <f t="shared" si="175"/>
        <v>-177297</v>
      </c>
      <c r="F153" s="232">
        <f t="shared" si="175"/>
        <v>-220348</v>
      </c>
      <c r="G153" s="233">
        <f t="shared" si="143"/>
        <v>-43051</v>
      </c>
      <c r="H153" s="234">
        <f t="shared" si="144"/>
        <v>-0.24281854740914963</v>
      </c>
      <c r="I153" s="293"/>
      <c r="J153" s="344">
        <f t="shared" ref="J153:K153" si="176">J145-J146</f>
        <v>-12671</v>
      </c>
      <c r="K153" s="321">
        <f t="shared" si="176"/>
        <v>-142305</v>
      </c>
      <c r="L153" s="233">
        <f t="shared" si="154"/>
        <v>-129634</v>
      </c>
      <c r="M153" s="234">
        <f t="shared" si="155"/>
        <v>-10.230763159971589</v>
      </c>
      <c r="N153" s="235"/>
      <c r="O153" s="344">
        <f t="shared" ref="O153:P153" si="177">O145-O146</f>
        <v>274763</v>
      </c>
      <c r="P153" s="232">
        <f t="shared" si="177"/>
        <v>-48988</v>
      </c>
      <c r="Q153" s="233">
        <f t="shared" si="156"/>
        <v>-323751</v>
      </c>
      <c r="R153" s="234">
        <f t="shared" si="157"/>
        <v>-1.178291836964948</v>
      </c>
      <c r="S153" s="235"/>
      <c r="T153" s="232">
        <f t="shared" ref="T153:U153" si="178">T145-T146</f>
        <v>-359246</v>
      </c>
      <c r="U153" s="232">
        <f t="shared" si="178"/>
        <v>0</v>
      </c>
      <c r="V153" s="233">
        <f t="shared" si="158"/>
        <v>359246</v>
      </c>
      <c r="W153" s="234">
        <f t="shared" si="159"/>
        <v>1</v>
      </c>
      <c r="X153" s="235"/>
    </row>
    <row r="154" spans="1:24" ht="17.100000000000001" customHeight="1" x14ac:dyDescent="0.2">
      <c r="A154" s="187" t="s">
        <v>136</v>
      </c>
      <c r="B154" s="178" t="s">
        <v>78</v>
      </c>
      <c r="C154" s="174">
        <f t="shared" ref="C154:F154" si="179">SUM(C155:C162)</f>
        <v>18029</v>
      </c>
      <c r="D154" s="346">
        <f t="shared" si="179"/>
        <v>17747</v>
      </c>
      <c r="E154" s="174">
        <f t="shared" si="179"/>
        <v>4437</v>
      </c>
      <c r="F154" s="174">
        <f t="shared" si="179"/>
        <v>4437</v>
      </c>
      <c r="G154" s="175">
        <f t="shared" si="143"/>
        <v>0</v>
      </c>
      <c r="H154" s="176">
        <f t="shared" si="144"/>
        <v>0</v>
      </c>
      <c r="I154" s="424"/>
      <c r="J154" s="346">
        <f t="shared" ref="J154:K154" si="180">SUM(J155:J162)</f>
        <v>8874</v>
      </c>
      <c r="K154" s="323">
        <f t="shared" si="180"/>
        <v>8874</v>
      </c>
      <c r="L154" s="175">
        <f t="shared" si="154"/>
        <v>0</v>
      </c>
      <c r="M154" s="176">
        <f t="shared" si="155"/>
        <v>0</v>
      </c>
      <c r="N154" s="417"/>
      <c r="O154" s="346">
        <f t="shared" ref="O154:P154" si="181">SUM(O155:O162)</f>
        <v>13310</v>
      </c>
      <c r="P154" s="174">
        <f t="shared" si="181"/>
        <v>13310</v>
      </c>
      <c r="Q154" s="175">
        <f t="shared" si="156"/>
        <v>0</v>
      </c>
      <c r="R154" s="176">
        <f t="shared" si="157"/>
        <v>0</v>
      </c>
      <c r="S154" s="417"/>
      <c r="T154" s="174">
        <f t="shared" ref="T154:U154" si="182">SUM(T155:T162)</f>
        <v>17747</v>
      </c>
      <c r="U154" s="174">
        <f t="shared" si="182"/>
        <v>0</v>
      </c>
      <c r="V154" s="175">
        <f t="shared" si="158"/>
        <v>-17747</v>
      </c>
      <c r="W154" s="176">
        <f t="shared" si="159"/>
        <v>-1</v>
      </c>
      <c r="X154" s="417"/>
    </row>
    <row r="155" spans="1:24" ht="17.100000000000001" customHeight="1" x14ac:dyDescent="0.2">
      <c r="A155" s="171" t="s">
        <v>137</v>
      </c>
      <c r="B155" s="70" t="s">
        <v>79</v>
      </c>
      <c r="C155" s="135"/>
      <c r="D155" s="347"/>
      <c r="E155" s="135"/>
      <c r="F155" s="135"/>
      <c r="G155" s="136">
        <f t="shared" si="143"/>
        <v>0</v>
      </c>
      <c r="H155" s="137" t="str">
        <f t="shared" si="144"/>
        <v>-</v>
      </c>
      <c r="I155" s="425"/>
      <c r="J155" s="347"/>
      <c r="K155" s="324"/>
      <c r="L155" s="136">
        <f t="shared" si="154"/>
        <v>0</v>
      </c>
      <c r="M155" s="137" t="str">
        <f t="shared" si="155"/>
        <v>-</v>
      </c>
      <c r="N155" s="418"/>
      <c r="O155" s="347"/>
      <c r="P155" s="135"/>
      <c r="Q155" s="136">
        <f t="shared" si="156"/>
        <v>0</v>
      </c>
      <c r="R155" s="137" t="str">
        <f t="shared" si="157"/>
        <v>-</v>
      </c>
      <c r="S155" s="418"/>
      <c r="T155" s="135"/>
      <c r="U155" s="135"/>
      <c r="V155" s="136">
        <f t="shared" si="158"/>
        <v>0</v>
      </c>
      <c r="W155" s="137" t="str">
        <f t="shared" si="159"/>
        <v>-</v>
      </c>
      <c r="X155" s="418"/>
    </row>
    <row r="156" spans="1:24" ht="17.100000000000001" customHeight="1" x14ac:dyDescent="0.2">
      <c r="A156" s="171" t="s">
        <v>138</v>
      </c>
      <c r="B156" s="70" t="s">
        <v>80</v>
      </c>
      <c r="C156" s="135"/>
      <c r="D156" s="347"/>
      <c r="E156" s="135"/>
      <c r="F156" s="135"/>
      <c r="G156" s="136">
        <f t="shared" si="143"/>
        <v>0</v>
      </c>
      <c r="H156" s="137" t="str">
        <f t="shared" si="144"/>
        <v>-</v>
      </c>
      <c r="I156" s="425"/>
      <c r="J156" s="347"/>
      <c r="K156" s="324"/>
      <c r="L156" s="136">
        <f t="shared" si="154"/>
        <v>0</v>
      </c>
      <c r="M156" s="137" t="str">
        <f t="shared" si="155"/>
        <v>-</v>
      </c>
      <c r="N156" s="418"/>
      <c r="O156" s="347"/>
      <c r="P156" s="135"/>
      <c r="Q156" s="136">
        <f t="shared" si="156"/>
        <v>0</v>
      </c>
      <c r="R156" s="137" t="str">
        <f t="shared" si="157"/>
        <v>-</v>
      </c>
      <c r="S156" s="418"/>
      <c r="T156" s="135"/>
      <c r="U156" s="135"/>
      <c r="V156" s="136">
        <f t="shared" si="158"/>
        <v>0</v>
      </c>
      <c r="W156" s="137" t="str">
        <f t="shared" si="159"/>
        <v>-</v>
      </c>
      <c r="X156" s="418"/>
    </row>
    <row r="157" spans="1:24" ht="17.100000000000001" customHeight="1" x14ac:dyDescent="0.2">
      <c r="A157" s="171" t="s">
        <v>139</v>
      </c>
      <c r="B157" s="70" t="s">
        <v>204</v>
      </c>
      <c r="C157" s="135"/>
      <c r="D157" s="347"/>
      <c r="E157" s="135"/>
      <c r="F157" s="135"/>
      <c r="G157" s="136">
        <f t="shared" si="143"/>
        <v>0</v>
      </c>
      <c r="H157" s="137" t="str">
        <f t="shared" si="144"/>
        <v>-</v>
      </c>
      <c r="I157" s="425"/>
      <c r="J157" s="347"/>
      <c r="K157" s="324"/>
      <c r="L157" s="136">
        <f t="shared" si="154"/>
        <v>0</v>
      </c>
      <c r="M157" s="137" t="str">
        <f t="shared" si="155"/>
        <v>-</v>
      </c>
      <c r="N157" s="418"/>
      <c r="O157" s="347"/>
      <c r="P157" s="135"/>
      <c r="Q157" s="136">
        <f t="shared" si="156"/>
        <v>0</v>
      </c>
      <c r="R157" s="137" t="str">
        <f t="shared" si="157"/>
        <v>-</v>
      </c>
      <c r="S157" s="418"/>
      <c r="T157" s="135"/>
      <c r="U157" s="135"/>
      <c r="V157" s="136">
        <f t="shared" si="158"/>
        <v>0</v>
      </c>
      <c r="W157" s="137" t="str">
        <f t="shared" si="159"/>
        <v>-</v>
      </c>
      <c r="X157" s="418"/>
    </row>
    <row r="158" spans="1:24" ht="17.100000000000001" customHeight="1" x14ac:dyDescent="0.2">
      <c r="A158" s="171" t="s">
        <v>140</v>
      </c>
      <c r="B158" s="70" t="s">
        <v>81</v>
      </c>
      <c r="C158" s="135"/>
      <c r="D158" s="347"/>
      <c r="E158" s="135"/>
      <c r="F158" s="135"/>
      <c r="G158" s="136">
        <f t="shared" si="143"/>
        <v>0</v>
      </c>
      <c r="H158" s="137" t="str">
        <f t="shared" si="144"/>
        <v>-</v>
      </c>
      <c r="I158" s="425"/>
      <c r="J158" s="347"/>
      <c r="K158" s="324"/>
      <c r="L158" s="136">
        <f t="shared" si="154"/>
        <v>0</v>
      </c>
      <c r="M158" s="137" t="str">
        <f t="shared" si="155"/>
        <v>-</v>
      </c>
      <c r="N158" s="418"/>
      <c r="O158" s="347"/>
      <c r="P158" s="135"/>
      <c r="Q158" s="136">
        <f t="shared" si="156"/>
        <v>0</v>
      </c>
      <c r="R158" s="137" t="str">
        <f t="shared" si="157"/>
        <v>-</v>
      </c>
      <c r="S158" s="418"/>
      <c r="T158" s="135"/>
      <c r="U158" s="135"/>
      <c r="V158" s="136">
        <f t="shared" si="158"/>
        <v>0</v>
      </c>
      <c r="W158" s="137" t="str">
        <f t="shared" si="159"/>
        <v>-</v>
      </c>
      <c r="X158" s="418"/>
    </row>
    <row r="159" spans="1:24" ht="17.100000000000001" customHeight="1" x14ac:dyDescent="0.2">
      <c r="A159" s="171" t="s">
        <v>141</v>
      </c>
      <c r="B159" s="70" t="s">
        <v>82</v>
      </c>
      <c r="C159" s="135"/>
      <c r="D159" s="347"/>
      <c r="E159" s="135"/>
      <c r="F159" s="135"/>
      <c r="G159" s="136">
        <f t="shared" si="143"/>
        <v>0</v>
      </c>
      <c r="H159" s="137" t="str">
        <f t="shared" si="144"/>
        <v>-</v>
      </c>
      <c r="I159" s="425"/>
      <c r="J159" s="347"/>
      <c r="K159" s="324"/>
      <c r="L159" s="136">
        <f t="shared" si="154"/>
        <v>0</v>
      </c>
      <c r="M159" s="137" t="str">
        <f t="shared" si="155"/>
        <v>-</v>
      </c>
      <c r="N159" s="418"/>
      <c r="O159" s="347"/>
      <c r="P159" s="135"/>
      <c r="Q159" s="136">
        <f t="shared" si="156"/>
        <v>0</v>
      </c>
      <c r="R159" s="137" t="str">
        <f t="shared" si="157"/>
        <v>-</v>
      </c>
      <c r="S159" s="418"/>
      <c r="T159" s="135"/>
      <c r="U159" s="135"/>
      <c r="V159" s="136">
        <f t="shared" si="158"/>
        <v>0</v>
      </c>
      <c r="W159" s="137" t="str">
        <f t="shared" si="159"/>
        <v>-</v>
      </c>
      <c r="X159" s="418"/>
    </row>
    <row r="160" spans="1:24" ht="17.100000000000001" customHeight="1" x14ac:dyDescent="0.2">
      <c r="A160" s="171" t="s">
        <v>142</v>
      </c>
      <c r="B160" s="70" t="s">
        <v>83</v>
      </c>
      <c r="C160" s="135"/>
      <c r="D160" s="347"/>
      <c r="E160" s="135"/>
      <c r="F160" s="135"/>
      <c r="G160" s="136">
        <f t="shared" si="143"/>
        <v>0</v>
      </c>
      <c r="H160" s="137" t="str">
        <f t="shared" si="144"/>
        <v>-</v>
      </c>
      <c r="I160" s="425"/>
      <c r="J160" s="347"/>
      <c r="K160" s="324"/>
      <c r="L160" s="136">
        <f t="shared" si="154"/>
        <v>0</v>
      </c>
      <c r="M160" s="137" t="str">
        <f t="shared" si="155"/>
        <v>-</v>
      </c>
      <c r="N160" s="418"/>
      <c r="O160" s="347"/>
      <c r="P160" s="135"/>
      <c r="Q160" s="136">
        <f t="shared" si="156"/>
        <v>0</v>
      </c>
      <c r="R160" s="137" t="str">
        <f t="shared" si="157"/>
        <v>-</v>
      </c>
      <c r="S160" s="418"/>
      <c r="T160" s="135"/>
      <c r="U160" s="135"/>
      <c r="V160" s="136">
        <f t="shared" si="158"/>
        <v>0</v>
      </c>
      <c r="W160" s="137" t="str">
        <f t="shared" si="159"/>
        <v>-</v>
      </c>
      <c r="X160" s="418"/>
    </row>
    <row r="161" spans="1:24" ht="17.100000000000001" customHeight="1" x14ac:dyDescent="0.2">
      <c r="A161" s="171" t="s">
        <v>143</v>
      </c>
      <c r="B161" s="70" t="s">
        <v>119</v>
      </c>
      <c r="C161" s="135"/>
      <c r="D161" s="347"/>
      <c r="E161" s="135"/>
      <c r="F161" s="135"/>
      <c r="G161" s="136">
        <f t="shared" si="143"/>
        <v>0</v>
      </c>
      <c r="H161" s="137" t="str">
        <f t="shared" si="144"/>
        <v>-</v>
      </c>
      <c r="I161" s="426"/>
      <c r="J161" s="347"/>
      <c r="K161" s="324"/>
      <c r="L161" s="136">
        <f t="shared" si="154"/>
        <v>0</v>
      </c>
      <c r="M161" s="137" t="str">
        <f t="shared" si="155"/>
        <v>-</v>
      </c>
      <c r="N161" s="419"/>
      <c r="O161" s="347"/>
      <c r="P161" s="135"/>
      <c r="Q161" s="136">
        <f t="shared" si="156"/>
        <v>0</v>
      </c>
      <c r="R161" s="137" t="str">
        <f t="shared" si="157"/>
        <v>-</v>
      </c>
      <c r="S161" s="419"/>
      <c r="T161" s="135"/>
      <c r="U161" s="135"/>
      <c r="V161" s="136">
        <f t="shared" si="158"/>
        <v>0</v>
      </c>
      <c r="W161" s="137" t="str">
        <f t="shared" si="159"/>
        <v>-</v>
      </c>
      <c r="X161" s="419"/>
    </row>
    <row r="162" spans="1:24" ht="17.100000000000001" customHeight="1" x14ac:dyDescent="0.2">
      <c r="A162" s="171" t="s">
        <v>144</v>
      </c>
      <c r="B162" s="70" t="s">
        <v>84</v>
      </c>
      <c r="C162" s="135">
        <v>18029</v>
      </c>
      <c r="D162" s="347">
        <v>17747</v>
      </c>
      <c r="E162" s="135">
        <v>4437</v>
      </c>
      <c r="F162" s="135">
        <v>4437</v>
      </c>
      <c r="G162" s="136">
        <f t="shared" si="143"/>
        <v>0</v>
      </c>
      <c r="H162" s="137">
        <f t="shared" si="144"/>
        <v>0</v>
      </c>
      <c r="I162" s="295"/>
      <c r="J162" s="347">
        <v>8874</v>
      </c>
      <c r="K162" s="324">
        <v>8874</v>
      </c>
      <c r="L162" s="136">
        <f t="shared" si="154"/>
        <v>0</v>
      </c>
      <c r="M162" s="137">
        <f t="shared" si="155"/>
        <v>0</v>
      </c>
      <c r="N162" s="164"/>
      <c r="O162" s="347">
        <v>13310</v>
      </c>
      <c r="P162" s="135">
        <v>13310</v>
      </c>
      <c r="Q162" s="136">
        <f t="shared" si="156"/>
        <v>0</v>
      </c>
      <c r="R162" s="137">
        <f t="shared" si="157"/>
        <v>0</v>
      </c>
      <c r="S162" s="164"/>
      <c r="T162" s="135">
        <f>D162</f>
        <v>17747</v>
      </c>
      <c r="U162" s="135"/>
      <c r="V162" s="136">
        <f t="shared" si="158"/>
        <v>-17747</v>
      </c>
      <c r="W162" s="137">
        <f t="shared" si="159"/>
        <v>-1</v>
      </c>
      <c r="X162" s="164"/>
    </row>
    <row r="163" spans="1:24" ht="17.100000000000001" customHeight="1" x14ac:dyDescent="0.2">
      <c r="A163" s="230" t="s">
        <v>85</v>
      </c>
      <c r="B163" s="231" t="s">
        <v>86</v>
      </c>
      <c r="C163" s="232">
        <f>C3+C154</f>
        <v>12274156</v>
      </c>
      <c r="D163" s="344">
        <f>D3+D154</f>
        <v>12319656</v>
      </c>
      <c r="E163" s="232">
        <f>E3+E154</f>
        <v>2858894</v>
      </c>
      <c r="F163" s="232">
        <f>F3+F154</f>
        <v>2741406</v>
      </c>
      <c r="G163" s="233">
        <f t="shared" si="143"/>
        <v>-117488</v>
      </c>
      <c r="H163" s="234">
        <f t="shared" si="144"/>
        <v>-4.10956124990993E-2</v>
      </c>
      <c r="I163" s="293"/>
      <c r="J163" s="344">
        <f>J3+J154</f>
        <v>5962788</v>
      </c>
      <c r="K163" s="321">
        <f>K3+K154</f>
        <v>5888329</v>
      </c>
      <c r="L163" s="233">
        <f t="shared" si="154"/>
        <v>-74459</v>
      </c>
      <c r="M163" s="234">
        <f t="shared" si="155"/>
        <v>-1.2487279440422836E-2</v>
      </c>
      <c r="N163" s="235"/>
      <c r="O163" s="344">
        <f>O3+O154</f>
        <v>9138045</v>
      </c>
      <c r="P163" s="232">
        <f>P3+P154</f>
        <v>9140783</v>
      </c>
      <c r="Q163" s="233">
        <f t="shared" si="156"/>
        <v>2738</v>
      </c>
      <c r="R163" s="234">
        <f t="shared" si="157"/>
        <v>2.9962645182859135E-4</v>
      </c>
      <c r="S163" s="235"/>
      <c r="T163" s="232">
        <f>T3+T154</f>
        <v>12319656</v>
      </c>
      <c r="U163" s="232">
        <f>U3+U154</f>
        <v>0</v>
      </c>
      <c r="V163" s="233">
        <f t="shared" si="158"/>
        <v>-12319656</v>
      </c>
      <c r="W163" s="234">
        <f t="shared" si="159"/>
        <v>-1</v>
      </c>
      <c r="X163" s="235"/>
    </row>
    <row r="164" spans="1:24" ht="17.100000000000001" customHeight="1" x14ac:dyDescent="0.2">
      <c r="A164" s="181">
        <v>8000</v>
      </c>
      <c r="B164" s="178" t="s">
        <v>87</v>
      </c>
      <c r="C164" s="174">
        <f t="shared" ref="C164:E164" si="183">SUM(C165:C171)</f>
        <v>57166</v>
      </c>
      <c r="D164" s="346">
        <f t="shared" si="183"/>
        <v>66368</v>
      </c>
      <c r="E164" s="174">
        <f t="shared" si="183"/>
        <v>13942</v>
      </c>
      <c r="F164" s="174">
        <f>SUM(F165:F171)</f>
        <v>13982</v>
      </c>
      <c r="G164" s="175">
        <f t="shared" si="143"/>
        <v>40</v>
      </c>
      <c r="H164" s="176">
        <f t="shared" si="144"/>
        <v>2.8690288337397791E-3</v>
      </c>
      <c r="I164" s="424"/>
      <c r="J164" s="346">
        <f t="shared" ref="J164" si="184">SUM(J165:J171)</f>
        <v>27684</v>
      </c>
      <c r="K164" s="323">
        <f>SUM(K165:K171)</f>
        <v>28513</v>
      </c>
      <c r="L164" s="175">
        <f t="shared" si="154"/>
        <v>829</v>
      </c>
      <c r="M164" s="176">
        <f t="shared" si="155"/>
        <v>2.9945094639502963E-2</v>
      </c>
      <c r="N164" s="417"/>
      <c r="O164" s="346">
        <f t="shared" ref="O164" si="185">SUM(O165:O171)</f>
        <v>41026</v>
      </c>
      <c r="P164" s="174">
        <f>SUM(P165:P171)</f>
        <v>84448</v>
      </c>
      <c r="Q164" s="175">
        <f t="shared" si="156"/>
        <v>43422</v>
      </c>
      <c r="R164" s="176">
        <f t="shared" si="157"/>
        <v>1.0584019889825964</v>
      </c>
      <c r="S164" s="430" t="s">
        <v>423</v>
      </c>
      <c r="T164" s="174">
        <f t="shared" ref="T164" si="186">SUM(T165:T171)</f>
        <v>66368</v>
      </c>
      <c r="U164" s="174">
        <f>SUM(U165:U171)</f>
        <v>0</v>
      </c>
      <c r="V164" s="175">
        <f t="shared" si="158"/>
        <v>-66368</v>
      </c>
      <c r="W164" s="176">
        <f t="shared" si="159"/>
        <v>-1</v>
      </c>
      <c r="X164" s="417"/>
    </row>
    <row r="165" spans="1:24" ht="17.100000000000001" customHeight="1" x14ac:dyDescent="0.2">
      <c r="A165" s="89">
        <v>8100</v>
      </c>
      <c r="B165" s="70" t="s">
        <v>145</v>
      </c>
      <c r="C165" s="135"/>
      <c r="D165" s="347"/>
      <c r="E165" s="135"/>
      <c r="F165" s="135"/>
      <c r="G165" s="136">
        <f t="shared" si="143"/>
        <v>0</v>
      </c>
      <c r="H165" s="137" t="str">
        <f t="shared" si="144"/>
        <v>-</v>
      </c>
      <c r="I165" s="425"/>
      <c r="J165" s="347"/>
      <c r="K165" s="324"/>
      <c r="L165" s="136">
        <f t="shared" si="154"/>
        <v>0</v>
      </c>
      <c r="M165" s="137" t="str">
        <f t="shared" si="155"/>
        <v>-</v>
      </c>
      <c r="N165" s="418"/>
      <c r="O165" s="347"/>
      <c r="P165" s="135"/>
      <c r="Q165" s="136">
        <f t="shared" si="156"/>
        <v>0</v>
      </c>
      <c r="R165" s="137" t="str">
        <f t="shared" si="157"/>
        <v>-</v>
      </c>
      <c r="S165" s="431"/>
      <c r="T165" s="135"/>
      <c r="U165" s="135"/>
      <c r="V165" s="136">
        <f t="shared" si="158"/>
        <v>0</v>
      </c>
      <c r="W165" s="137" t="str">
        <f t="shared" si="159"/>
        <v>-</v>
      </c>
      <c r="X165" s="418"/>
    </row>
    <row r="166" spans="1:24" ht="17.100000000000001" customHeight="1" x14ac:dyDescent="0.2">
      <c r="A166" s="89">
        <v>8200</v>
      </c>
      <c r="B166" s="70" t="s">
        <v>90</v>
      </c>
      <c r="C166" s="135"/>
      <c r="D166" s="347"/>
      <c r="E166" s="135"/>
      <c r="F166" s="135"/>
      <c r="G166" s="136">
        <f t="shared" si="143"/>
        <v>0</v>
      </c>
      <c r="H166" s="137" t="str">
        <f t="shared" si="144"/>
        <v>-</v>
      </c>
      <c r="I166" s="425"/>
      <c r="J166" s="347"/>
      <c r="K166" s="324"/>
      <c r="L166" s="136">
        <f t="shared" si="154"/>
        <v>0</v>
      </c>
      <c r="M166" s="137" t="str">
        <f t="shared" si="155"/>
        <v>-</v>
      </c>
      <c r="N166" s="418"/>
      <c r="O166" s="347"/>
      <c r="P166" s="135"/>
      <c r="Q166" s="136">
        <f t="shared" si="156"/>
        <v>0</v>
      </c>
      <c r="R166" s="137" t="str">
        <f t="shared" si="157"/>
        <v>-</v>
      </c>
      <c r="S166" s="431"/>
      <c r="T166" s="135"/>
      <c r="U166" s="135"/>
      <c r="V166" s="136">
        <f t="shared" si="158"/>
        <v>0</v>
      </c>
      <c r="W166" s="137" t="str">
        <f t="shared" si="159"/>
        <v>-</v>
      </c>
      <c r="X166" s="418"/>
    </row>
    <row r="167" spans="1:24" ht="17.100000000000001" customHeight="1" x14ac:dyDescent="0.2">
      <c r="A167" s="89">
        <v>8300</v>
      </c>
      <c r="B167" s="70" t="s">
        <v>89</v>
      </c>
      <c r="C167" s="135"/>
      <c r="D167" s="347"/>
      <c r="E167" s="135"/>
      <c r="F167" s="135"/>
      <c r="G167" s="136">
        <f t="shared" si="143"/>
        <v>0</v>
      </c>
      <c r="H167" s="137" t="str">
        <f t="shared" si="144"/>
        <v>-</v>
      </c>
      <c r="I167" s="425"/>
      <c r="J167" s="347"/>
      <c r="K167" s="324">
        <v>362</v>
      </c>
      <c r="L167" s="136">
        <f t="shared" si="154"/>
        <v>362</v>
      </c>
      <c r="M167" s="137" t="str">
        <f t="shared" si="155"/>
        <v>-</v>
      </c>
      <c r="N167" s="418"/>
      <c r="O167" s="347"/>
      <c r="P167" s="135">
        <f>362+42178</f>
        <v>42540</v>
      </c>
      <c r="Q167" s="136">
        <f t="shared" si="156"/>
        <v>42540</v>
      </c>
      <c r="R167" s="137" t="str">
        <f t="shared" si="157"/>
        <v>-</v>
      </c>
      <c r="S167" s="431"/>
      <c r="T167" s="135"/>
      <c r="U167" s="135"/>
      <c r="V167" s="136">
        <f t="shared" si="158"/>
        <v>0</v>
      </c>
      <c r="W167" s="137" t="str">
        <f t="shared" si="159"/>
        <v>-</v>
      </c>
      <c r="X167" s="418"/>
    </row>
    <row r="168" spans="1:24" ht="17.100000000000001" customHeight="1" x14ac:dyDescent="0.2">
      <c r="A168" s="89">
        <v>8600</v>
      </c>
      <c r="B168" s="70" t="s">
        <v>146</v>
      </c>
      <c r="C168" s="135">
        <v>11518</v>
      </c>
      <c r="D168" s="347">
        <v>12000</v>
      </c>
      <c r="E168" s="135">
        <v>0</v>
      </c>
      <c r="F168" s="135"/>
      <c r="G168" s="136">
        <f t="shared" si="143"/>
        <v>0</v>
      </c>
      <c r="H168" s="137" t="str">
        <f t="shared" si="144"/>
        <v>-</v>
      </c>
      <c r="I168" s="425"/>
      <c r="J168" s="347">
        <v>0</v>
      </c>
      <c r="K168" s="324"/>
      <c r="L168" s="136">
        <f t="shared" si="154"/>
        <v>0</v>
      </c>
      <c r="M168" s="137" t="str">
        <f t="shared" si="155"/>
        <v>-</v>
      </c>
      <c r="N168" s="418"/>
      <c r="O168" s="347">
        <v>0</v>
      </c>
      <c r="P168" s="135"/>
      <c r="Q168" s="136">
        <f t="shared" si="156"/>
        <v>0</v>
      </c>
      <c r="R168" s="137" t="str">
        <f t="shared" si="157"/>
        <v>-</v>
      </c>
      <c r="S168" s="431"/>
      <c r="T168" s="135">
        <f>D168</f>
        <v>12000</v>
      </c>
      <c r="U168" s="135"/>
      <c r="V168" s="136">
        <f t="shared" si="158"/>
        <v>-12000</v>
      </c>
      <c r="W168" s="137">
        <f t="shared" si="159"/>
        <v>-1</v>
      </c>
      <c r="X168" s="418"/>
    </row>
    <row r="169" spans="1:24" ht="17.100000000000001" customHeight="1" x14ac:dyDescent="0.2">
      <c r="A169" s="89">
        <v>8700</v>
      </c>
      <c r="B169" s="70" t="s">
        <v>205</v>
      </c>
      <c r="C169" s="135">
        <v>-3676</v>
      </c>
      <c r="D169" s="347">
        <v>0</v>
      </c>
      <c r="E169" s="135">
        <v>0</v>
      </c>
      <c r="F169" s="135"/>
      <c r="G169" s="136">
        <f t="shared" si="143"/>
        <v>0</v>
      </c>
      <c r="H169" s="137" t="str">
        <f t="shared" si="144"/>
        <v>-</v>
      </c>
      <c r="I169" s="425"/>
      <c r="J169" s="347">
        <v>0</v>
      </c>
      <c r="K169" s="324"/>
      <c r="L169" s="136">
        <f t="shared" si="154"/>
        <v>0</v>
      </c>
      <c r="M169" s="137" t="str">
        <f t="shared" si="155"/>
        <v>-</v>
      </c>
      <c r="N169" s="418"/>
      <c r="O169" s="347">
        <v>0</v>
      </c>
      <c r="P169" s="135"/>
      <c r="Q169" s="136">
        <f t="shared" si="156"/>
        <v>0</v>
      </c>
      <c r="R169" s="137" t="str">
        <f t="shared" si="157"/>
        <v>-</v>
      </c>
      <c r="S169" s="431"/>
      <c r="T169" s="135">
        <f>D169</f>
        <v>0</v>
      </c>
      <c r="U169" s="135"/>
      <c r="V169" s="136">
        <f t="shared" si="158"/>
        <v>0</v>
      </c>
      <c r="W169" s="137" t="str">
        <f t="shared" si="159"/>
        <v>-</v>
      </c>
      <c r="X169" s="418"/>
    </row>
    <row r="170" spans="1:24" ht="17.100000000000001" customHeight="1" x14ac:dyDescent="0.2">
      <c r="A170" s="89">
        <v>8800</v>
      </c>
      <c r="B170" s="172" t="s">
        <v>88</v>
      </c>
      <c r="C170" s="139"/>
      <c r="D170" s="347"/>
      <c r="E170" s="135"/>
      <c r="F170" s="135"/>
      <c r="G170" s="136">
        <f t="shared" si="143"/>
        <v>0</v>
      </c>
      <c r="H170" s="137" t="str">
        <f t="shared" si="144"/>
        <v>-</v>
      </c>
      <c r="I170" s="425"/>
      <c r="J170" s="347"/>
      <c r="K170" s="324"/>
      <c r="L170" s="136">
        <f t="shared" si="154"/>
        <v>0</v>
      </c>
      <c r="M170" s="137" t="str">
        <f t="shared" si="155"/>
        <v>-</v>
      </c>
      <c r="N170" s="418"/>
      <c r="O170" s="347"/>
      <c r="P170" s="135"/>
      <c r="Q170" s="136">
        <f t="shared" si="156"/>
        <v>0</v>
      </c>
      <c r="R170" s="137" t="str">
        <f t="shared" si="157"/>
        <v>-</v>
      </c>
      <c r="S170" s="431"/>
      <c r="T170" s="135"/>
      <c r="U170" s="135"/>
      <c r="V170" s="136">
        <f t="shared" si="158"/>
        <v>0</v>
      </c>
      <c r="W170" s="137" t="str">
        <f t="shared" si="159"/>
        <v>-</v>
      </c>
      <c r="X170" s="418"/>
    </row>
    <row r="171" spans="1:24" ht="34.5" customHeight="1" x14ac:dyDescent="0.2">
      <c r="A171" s="35">
        <v>8900</v>
      </c>
      <c r="B171" s="173" t="s">
        <v>147</v>
      </c>
      <c r="C171" s="139">
        <v>49324</v>
      </c>
      <c r="D171" s="347">
        <v>54368</v>
      </c>
      <c r="E171" s="135">
        <v>13942</v>
      </c>
      <c r="F171" s="135">
        <v>13982</v>
      </c>
      <c r="G171" s="136">
        <f t="shared" si="143"/>
        <v>40</v>
      </c>
      <c r="H171" s="137">
        <f t="shared" si="144"/>
        <v>2.8690288337397791E-3</v>
      </c>
      <c r="I171" s="426"/>
      <c r="J171" s="347">
        <v>27684</v>
      </c>
      <c r="K171" s="324">
        <v>28151</v>
      </c>
      <c r="L171" s="136">
        <f t="shared" si="154"/>
        <v>467</v>
      </c>
      <c r="M171" s="137">
        <f t="shared" si="155"/>
        <v>1.6868949573761016E-2</v>
      </c>
      <c r="N171" s="419"/>
      <c r="O171" s="347">
        <v>41026</v>
      </c>
      <c r="P171" s="135">
        <v>41908</v>
      </c>
      <c r="Q171" s="136">
        <f t="shared" si="156"/>
        <v>882</v>
      </c>
      <c r="R171" s="137">
        <f t="shared" si="157"/>
        <v>2.1498561887583485E-2</v>
      </c>
      <c r="S171" s="432"/>
      <c r="T171" s="135">
        <f>D171</f>
        <v>54368</v>
      </c>
      <c r="U171" s="135"/>
      <c r="V171" s="136">
        <f t="shared" si="158"/>
        <v>-54368</v>
      </c>
      <c r="W171" s="137">
        <f t="shared" si="159"/>
        <v>-1</v>
      </c>
      <c r="X171" s="419"/>
    </row>
    <row r="172" spans="1:24" ht="17.100000000000001" customHeight="1" x14ac:dyDescent="0.2">
      <c r="A172" s="230" t="s">
        <v>91</v>
      </c>
      <c r="B172" s="231" t="s">
        <v>92</v>
      </c>
      <c r="C172" s="232">
        <f>C144+C146+C164</f>
        <v>11738124</v>
      </c>
      <c r="D172" s="344">
        <f t="shared" ref="D172:F172" si="187">D144+D146+D164</f>
        <v>12727523</v>
      </c>
      <c r="E172" s="232">
        <f t="shared" si="187"/>
        <v>3045696</v>
      </c>
      <c r="F172" s="232">
        <f t="shared" si="187"/>
        <v>2971299</v>
      </c>
      <c r="G172" s="233">
        <f t="shared" si="143"/>
        <v>-74397</v>
      </c>
      <c r="H172" s="234">
        <f t="shared" si="144"/>
        <v>-2.4426929017209859E-2</v>
      </c>
      <c r="I172" s="293"/>
      <c r="J172" s="344">
        <f t="shared" ref="J172:K172" si="188">J144+J146+J164</f>
        <v>5994269</v>
      </c>
      <c r="K172" s="321">
        <f t="shared" si="188"/>
        <v>6050273</v>
      </c>
      <c r="L172" s="233">
        <f t="shared" si="154"/>
        <v>56004</v>
      </c>
      <c r="M172" s="234">
        <f t="shared" si="155"/>
        <v>9.3429240496213962E-3</v>
      </c>
      <c r="N172" s="235"/>
      <c r="O172" s="344">
        <f t="shared" ref="O172:P172" si="189">O144+O146+O164</f>
        <v>8890998</v>
      </c>
      <c r="P172" s="232">
        <f t="shared" si="189"/>
        <v>9260909</v>
      </c>
      <c r="Q172" s="233">
        <f t="shared" si="156"/>
        <v>369911</v>
      </c>
      <c r="R172" s="234">
        <f t="shared" si="157"/>
        <v>4.1605115646185048E-2</v>
      </c>
      <c r="S172" s="235"/>
      <c r="T172" s="232">
        <f t="shared" ref="T172:U172" si="190">T144+T146+T164</f>
        <v>12727523</v>
      </c>
      <c r="U172" s="232">
        <f t="shared" si="190"/>
        <v>0</v>
      </c>
      <c r="V172" s="233">
        <f t="shared" si="158"/>
        <v>-12727523</v>
      </c>
      <c r="W172" s="234">
        <f t="shared" si="159"/>
        <v>-1</v>
      </c>
      <c r="X172" s="235"/>
    </row>
    <row r="173" spans="1:24" ht="17.100000000000001" customHeight="1" x14ac:dyDescent="0.2">
      <c r="A173" s="224" t="s">
        <v>362</v>
      </c>
      <c r="B173" s="225" t="s">
        <v>93</v>
      </c>
      <c r="C173" s="226">
        <f>C153+C154-C164</f>
        <v>536032</v>
      </c>
      <c r="D173" s="359">
        <f>D153+D154-D164</f>
        <v>-407867</v>
      </c>
      <c r="E173" s="226">
        <f>E153+E154-E164</f>
        <v>-186802</v>
      </c>
      <c r="F173" s="226">
        <f>F153+F154-F164</f>
        <v>-229893</v>
      </c>
      <c r="G173" s="227">
        <f t="shared" si="143"/>
        <v>-43091</v>
      </c>
      <c r="H173" s="228">
        <f t="shared" si="144"/>
        <v>-0.23067740174088072</v>
      </c>
      <c r="I173" s="305"/>
      <c r="J173" s="359">
        <f>J153+J154-J164</f>
        <v>-31481</v>
      </c>
      <c r="K173" s="333">
        <f>K153+K154-K164</f>
        <v>-161944</v>
      </c>
      <c r="L173" s="227">
        <f t="shared" si="154"/>
        <v>-130463</v>
      </c>
      <c r="M173" s="228">
        <f t="shared" si="155"/>
        <v>-4.1441822051396082</v>
      </c>
      <c r="N173" s="229"/>
      <c r="O173" s="359">
        <f>O153+O154-O164</f>
        <v>247047</v>
      </c>
      <c r="P173" s="226">
        <f>P153+P154-P164</f>
        <v>-120126</v>
      </c>
      <c r="Q173" s="227">
        <f t="shared" si="156"/>
        <v>-367173</v>
      </c>
      <c r="R173" s="228">
        <f t="shared" si="157"/>
        <v>-1.4862475561330435</v>
      </c>
      <c r="S173" s="229"/>
      <c r="T173" s="226">
        <f>T153+T154-T164</f>
        <v>-407867</v>
      </c>
      <c r="U173" s="226">
        <f>U153+U154-U164</f>
        <v>0</v>
      </c>
      <c r="V173" s="227">
        <f t="shared" si="158"/>
        <v>407867</v>
      </c>
      <c r="W173" s="228">
        <f t="shared" si="159"/>
        <v>1</v>
      </c>
      <c r="X173" s="229"/>
    </row>
    <row r="174" spans="1:24" x14ac:dyDescent="0.2">
      <c r="B174" s="1" t="s">
        <v>396</v>
      </c>
      <c r="C174" s="310">
        <f>C34/C172*100</f>
        <v>65.41862226025215</v>
      </c>
      <c r="D174" s="360">
        <f>D34/D172*100</f>
        <v>66.487689709930208</v>
      </c>
      <c r="E174" s="310">
        <f t="shared" ref="E174:K174" si="191">E34/E172*100</f>
        <v>63.071100989724513</v>
      </c>
      <c r="F174" s="310">
        <f t="shared" si="191"/>
        <v>64.393418501470236</v>
      </c>
      <c r="G174" s="310">
        <f t="shared" si="191"/>
        <v>10.259822304662821</v>
      </c>
      <c r="H174" s="310">
        <f t="shared" si="191"/>
        <v>16.26707341978118</v>
      </c>
      <c r="I174" s="310" t="e">
        <f t="shared" si="191"/>
        <v>#DIV/0!</v>
      </c>
      <c r="J174" s="360">
        <f t="shared" si="191"/>
        <v>65.03375140488356</v>
      </c>
      <c r="K174" s="310">
        <f t="shared" si="191"/>
        <v>65.780668078944544</v>
      </c>
      <c r="O174" s="310">
        <f t="shared" ref="O174:P174" si="192">O34/O172*100</f>
        <v>65.478667299216582</v>
      </c>
      <c r="P174" s="310">
        <f t="shared" si="192"/>
        <v>65.51640881040943</v>
      </c>
    </row>
    <row r="175" spans="1:24" x14ac:dyDescent="0.2">
      <c r="A175" s="440" t="s">
        <v>397</v>
      </c>
      <c r="B175" s="440"/>
      <c r="C175" s="311">
        <f>C50/C172*100</f>
        <v>17.248241712219091</v>
      </c>
      <c r="D175" s="361">
        <f>D50/D172*100</f>
        <v>16.721242617279106</v>
      </c>
      <c r="E175" s="311">
        <f t="shared" ref="E175:K175" si="193">E50/E172*100</f>
        <v>16.070185599613357</v>
      </c>
      <c r="F175" s="311">
        <f t="shared" si="193"/>
        <v>16.56669355726233</v>
      </c>
      <c r="G175" s="311">
        <f t="shared" si="193"/>
        <v>-3.7595601973197841</v>
      </c>
      <c r="H175" s="311">
        <f t="shared" si="193"/>
        <v>-23.394628357062899</v>
      </c>
      <c r="I175" s="311" t="e">
        <f t="shared" si="193"/>
        <v>#DIV/0!</v>
      </c>
      <c r="J175" s="361">
        <f t="shared" si="193"/>
        <v>16.774739338524846</v>
      </c>
      <c r="K175" s="311">
        <f t="shared" si="193"/>
        <v>16.851669337895991</v>
      </c>
      <c r="O175" s="311">
        <f t="shared" ref="O175:P175" si="194">O50/O172*100</f>
        <v>16.808922912815863</v>
      </c>
      <c r="P175" s="311">
        <f t="shared" si="194"/>
        <v>16.724416577249599</v>
      </c>
    </row>
    <row r="176" spans="1:24" x14ac:dyDescent="0.2">
      <c r="A176" s="444" t="s">
        <v>297</v>
      </c>
      <c r="B176" s="444"/>
      <c r="C176" s="311"/>
      <c r="D176" s="361"/>
      <c r="E176" s="188"/>
      <c r="F176" s="188"/>
      <c r="G176" s="188"/>
      <c r="H176" s="188"/>
      <c r="I176" s="306"/>
    </row>
    <row r="177" spans="1:24" ht="38.450000000000003" customHeight="1" x14ac:dyDescent="0.2">
      <c r="A177" s="446" t="s">
        <v>329</v>
      </c>
      <c r="B177" s="446"/>
      <c r="C177" s="446"/>
      <c r="D177" s="446"/>
      <c r="E177" s="446"/>
      <c r="F177" s="183"/>
      <c r="G177" s="183"/>
      <c r="H177" s="183"/>
      <c r="I177" s="307"/>
      <c r="J177" s="363"/>
      <c r="K177" s="335"/>
      <c r="L177" s="1"/>
      <c r="M177" s="1"/>
      <c r="N177" s="1"/>
      <c r="O177" s="363"/>
      <c r="P177" s="1"/>
      <c r="Q177" s="1"/>
      <c r="R177" s="1"/>
      <c r="S177" s="1"/>
      <c r="T177" s="1"/>
      <c r="U177" s="1"/>
      <c r="V177" s="1"/>
      <c r="W177" s="1"/>
      <c r="X177" s="1"/>
    </row>
    <row r="178" spans="1:24" ht="36.6" customHeight="1" x14ac:dyDescent="0.2">
      <c r="A178" s="445" t="s">
        <v>328</v>
      </c>
      <c r="B178" s="445"/>
      <c r="C178" s="445"/>
      <c r="D178" s="445"/>
      <c r="E178" s="445"/>
      <c r="F178" s="188"/>
      <c r="G178" s="188"/>
      <c r="H178" s="188"/>
      <c r="I178" s="306"/>
    </row>
    <row r="179" spans="1:24" ht="45.6" customHeight="1" x14ac:dyDescent="0.2">
      <c r="A179" s="446" t="s">
        <v>334</v>
      </c>
      <c r="B179" s="446"/>
      <c r="C179" s="446"/>
      <c r="D179" s="446"/>
      <c r="E179" s="446"/>
      <c r="F179" s="188"/>
      <c r="G179" s="188"/>
      <c r="H179" s="188"/>
      <c r="I179" s="306"/>
    </row>
    <row r="180" spans="1:24" ht="20.45" customHeight="1" x14ac:dyDescent="0.2">
      <c r="A180" s="440" t="s">
        <v>299</v>
      </c>
      <c r="B180" s="440"/>
      <c r="C180" s="440"/>
      <c r="D180" s="440"/>
      <c r="E180" s="440"/>
      <c r="F180" s="188"/>
      <c r="G180" s="188"/>
      <c r="H180" s="188"/>
      <c r="I180" s="306"/>
    </row>
    <row r="181" spans="1:24" x14ac:dyDescent="0.2">
      <c r="A181" s="440" t="s">
        <v>300</v>
      </c>
      <c r="B181" s="440"/>
      <c r="C181" s="440"/>
      <c r="D181" s="440"/>
      <c r="E181" s="440"/>
      <c r="F181" s="188"/>
      <c r="G181" s="188"/>
      <c r="H181" s="188"/>
      <c r="I181" s="306"/>
    </row>
  </sheetData>
  <sheetProtection formatColumns="0" formatRows="0"/>
  <mergeCells count="95">
    <mergeCell ref="A176:B176"/>
    <mergeCell ref="A178:E178"/>
    <mergeCell ref="A179:E179"/>
    <mergeCell ref="A180:E180"/>
    <mergeCell ref="A181:E181"/>
    <mergeCell ref="A177:E177"/>
    <mergeCell ref="A175:B175"/>
    <mergeCell ref="I148:I152"/>
    <mergeCell ref="I154:I161"/>
    <mergeCell ref="I35:I38"/>
    <mergeCell ref="I5:I9"/>
    <mergeCell ref="I10:I12"/>
    <mergeCell ref="I13:I15"/>
    <mergeCell ref="I16:I18"/>
    <mergeCell ref="I19:I21"/>
    <mergeCell ref="I22:I26"/>
    <mergeCell ref="I39:I47"/>
    <mergeCell ref="I52:I57"/>
    <mergeCell ref="I68:I73"/>
    <mergeCell ref="I74:I81"/>
    <mergeCell ref="I82:I88"/>
    <mergeCell ref="I90:I95"/>
    <mergeCell ref="I96:I101"/>
    <mergeCell ref="I104:I108"/>
    <mergeCell ref="I109:I112"/>
    <mergeCell ref="I164:I171"/>
    <mergeCell ref="S19:S21"/>
    <mergeCell ref="S22:S26"/>
    <mergeCell ref="S35:S38"/>
    <mergeCell ref="S39:S47"/>
    <mergeCell ref="S52:S57"/>
    <mergeCell ref="I119:I125"/>
    <mergeCell ref="I130:I137"/>
    <mergeCell ref="I114:I117"/>
    <mergeCell ref="N22:N26"/>
    <mergeCell ref="N35:N38"/>
    <mergeCell ref="N39:N47"/>
    <mergeCell ref="N52:N57"/>
    <mergeCell ref="N104:N108"/>
    <mergeCell ref="N109:N112"/>
    <mergeCell ref="N90:N95"/>
    <mergeCell ref="S90:S95"/>
    <mergeCell ref="S96:S101"/>
    <mergeCell ref="S104:S108"/>
    <mergeCell ref="S109:S112"/>
    <mergeCell ref="S68:S73"/>
    <mergeCell ref="S74:S81"/>
    <mergeCell ref="N68:N73"/>
    <mergeCell ref="N74:N81"/>
    <mergeCell ref="S5:S9"/>
    <mergeCell ref="S10:S12"/>
    <mergeCell ref="S13:S15"/>
    <mergeCell ref="S16:S18"/>
    <mergeCell ref="N5:N9"/>
    <mergeCell ref="N10:N12"/>
    <mergeCell ref="N13:N15"/>
    <mergeCell ref="N16:N18"/>
    <mergeCell ref="N19:N21"/>
    <mergeCell ref="N154:N161"/>
    <mergeCell ref="N164:N171"/>
    <mergeCell ref="N148:N152"/>
    <mergeCell ref="X82:X88"/>
    <mergeCell ref="X90:X95"/>
    <mergeCell ref="X96:X101"/>
    <mergeCell ref="X104:X108"/>
    <mergeCell ref="X109:X112"/>
    <mergeCell ref="S148:S152"/>
    <mergeCell ref="S154:S161"/>
    <mergeCell ref="S164:S171"/>
    <mergeCell ref="X154:X161"/>
    <mergeCell ref="X164:X171"/>
    <mergeCell ref="S82:S88"/>
    <mergeCell ref="N130:N137"/>
    <mergeCell ref="N96:N101"/>
    <mergeCell ref="N114:N117"/>
    <mergeCell ref="N119:N125"/>
    <mergeCell ref="N82:N88"/>
    <mergeCell ref="X5:X9"/>
    <mergeCell ref="X10:X12"/>
    <mergeCell ref="X13:X15"/>
    <mergeCell ref="X16:X18"/>
    <mergeCell ref="X19:X21"/>
    <mergeCell ref="X22:X26"/>
    <mergeCell ref="X35:X38"/>
    <mergeCell ref="X39:X47"/>
    <mergeCell ref="X52:X57"/>
    <mergeCell ref="X68:X73"/>
    <mergeCell ref="X74:X81"/>
    <mergeCell ref="S119:S125"/>
    <mergeCell ref="S114:S117"/>
    <mergeCell ref="S130:S137"/>
    <mergeCell ref="X148:X152"/>
    <mergeCell ref="X114:X117"/>
    <mergeCell ref="X119:X125"/>
    <mergeCell ref="X130:X137"/>
  </mergeCells>
  <phoneticPr fontId="49" type="noConversion"/>
  <pageMargins left="0.23622047244094491" right="0.23622047244094491" top="0.74803149606299213" bottom="0.74803149606299213" header="0.31496062992125984" footer="0.31496062992125984"/>
  <pageSetup paperSize="9" scale="44" fitToHeight="0" orientation="landscape" horizontalDpi="300" verticalDpi="300" r:id="rId1"/>
  <headerFooter>
    <oddHeader>&amp;C&amp;"Times New Roman,Bold"&amp;14Budžeta&amp;"Times New Roman,Regular" &amp;"Times New Roman,Bold"tāme&amp;R&amp;"Times New Roman,Regular"&amp;14 1.pielikums</oddHeader>
    <oddFooter>&amp;C&amp;"Times New Roman,Regular"&amp;12&amp;F&amp;R&amp;"Times New Roman,Regular"&amp;12&amp;P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8"/>
  <sheetViews>
    <sheetView tabSelected="1" view="pageBreakPreview" zoomScale="85" zoomScaleNormal="85" zoomScaleSheetLayoutView="85" zoomScalePageLayoutView="70" workbookViewId="0">
      <pane ySplit="1" topLeftCell="A2" activePane="bottomLeft" state="frozen"/>
      <selection pane="bottomLeft" activeCell="AD5" sqref="AD5"/>
    </sheetView>
  </sheetViews>
  <sheetFormatPr defaultColWidth="9.140625" defaultRowHeight="18" outlineLevelCol="1" x14ac:dyDescent="0.2"/>
  <cols>
    <col min="1" max="1" width="9.28515625" style="6" bestFit="1" customWidth="1"/>
    <col min="2" max="2" width="66.85546875" style="6" customWidth="1"/>
    <col min="3" max="3" width="16.5703125" style="6" customWidth="1"/>
    <col min="4" max="4" width="16.5703125" style="371" hidden="1" customWidth="1"/>
    <col min="5" max="5" width="14.42578125" style="6" hidden="1" customWidth="1"/>
    <col min="6" max="8" width="16.5703125" style="6" hidden="1" customWidth="1" outlineLevel="1"/>
    <col min="9" max="9" width="38.42578125" style="6" hidden="1" customWidth="1" outlineLevel="1"/>
    <col min="10" max="10" width="16.5703125" style="371" hidden="1" customWidth="1" collapsed="1"/>
    <col min="11" max="11" width="16.5703125" style="341" hidden="1" customWidth="1" outlineLevel="1"/>
    <col min="12" max="13" width="16.5703125" style="6" hidden="1" customWidth="1" outlineLevel="1"/>
    <col min="14" max="14" width="38.42578125" style="6" hidden="1" customWidth="1" outlineLevel="1"/>
    <col min="15" max="15" width="16.5703125" style="371" hidden="1" customWidth="1" collapsed="1"/>
    <col min="16" max="16" width="16.5703125" style="6" customWidth="1" outlineLevel="1"/>
    <col min="17" max="18" width="16.5703125" style="6" hidden="1" customWidth="1" outlineLevel="1"/>
    <col min="19" max="19" width="38.42578125" style="6" hidden="1" customWidth="1" outlineLevel="1"/>
    <col min="20" max="20" width="16.5703125" style="6" hidden="1" customWidth="1"/>
    <col min="21" max="23" width="16.5703125" style="6" hidden="1" customWidth="1" outlineLevel="1"/>
    <col min="24" max="24" width="38.42578125" style="6" hidden="1" customWidth="1" outlineLevel="1"/>
    <col min="25" max="25" width="9.140625" style="6" collapsed="1"/>
    <col min="26" max="16384" width="9.140625" style="6"/>
  </cols>
  <sheetData>
    <row r="1" spans="1:24" ht="63.6" customHeight="1" x14ac:dyDescent="0.2">
      <c r="A1" s="15" t="s">
        <v>265</v>
      </c>
      <c r="B1" s="15" t="s">
        <v>324</v>
      </c>
      <c r="C1" s="16" t="s">
        <v>368</v>
      </c>
      <c r="D1" s="364" t="s">
        <v>369</v>
      </c>
      <c r="E1" s="16" t="s">
        <v>370</v>
      </c>
      <c r="F1" s="16" t="s">
        <v>374</v>
      </c>
      <c r="G1" s="17" t="s">
        <v>392</v>
      </c>
      <c r="H1" s="18" t="s">
        <v>267</v>
      </c>
      <c r="I1" s="16" t="s">
        <v>323</v>
      </c>
      <c r="J1" s="364" t="s">
        <v>371</v>
      </c>
      <c r="K1" s="281" t="s">
        <v>391</v>
      </c>
      <c r="L1" s="17" t="s">
        <v>392</v>
      </c>
      <c r="M1" s="18" t="s">
        <v>393</v>
      </c>
      <c r="N1" s="16" t="s">
        <v>323</v>
      </c>
      <c r="O1" s="364" t="s">
        <v>372</v>
      </c>
      <c r="P1" s="16" t="s">
        <v>408</v>
      </c>
      <c r="Q1" s="17" t="s">
        <v>266</v>
      </c>
      <c r="R1" s="18" t="s">
        <v>267</v>
      </c>
      <c r="S1" s="16" t="s">
        <v>323</v>
      </c>
      <c r="T1" s="16" t="s">
        <v>373</v>
      </c>
      <c r="U1" s="16" t="s">
        <v>288</v>
      </c>
      <c r="V1" s="17" t="s">
        <v>266</v>
      </c>
      <c r="W1" s="18" t="s">
        <v>267</v>
      </c>
      <c r="X1" s="16" t="s">
        <v>323</v>
      </c>
    </row>
    <row r="2" spans="1:24" ht="12" customHeight="1" x14ac:dyDescent="0.2">
      <c r="A2" s="15">
        <v>1</v>
      </c>
      <c r="B2" s="15">
        <v>2</v>
      </c>
      <c r="C2" s="16">
        <v>3</v>
      </c>
      <c r="D2" s="364">
        <v>4</v>
      </c>
      <c r="E2" s="16">
        <v>5</v>
      </c>
      <c r="F2" s="16">
        <v>6</v>
      </c>
      <c r="G2" s="17">
        <v>7</v>
      </c>
      <c r="H2" s="19">
        <v>8</v>
      </c>
      <c r="I2" s="16">
        <v>9</v>
      </c>
      <c r="J2" s="364">
        <v>10</v>
      </c>
      <c r="K2" s="281">
        <v>11</v>
      </c>
      <c r="L2" s="17">
        <v>12</v>
      </c>
      <c r="M2" s="19">
        <v>13</v>
      </c>
      <c r="N2" s="16">
        <v>14</v>
      </c>
      <c r="O2" s="364">
        <v>15</v>
      </c>
      <c r="P2" s="16">
        <v>16</v>
      </c>
      <c r="Q2" s="17">
        <v>17</v>
      </c>
      <c r="R2" s="19">
        <v>18</v>
      </c>
      <c r="S2" s="16">
        <v>19</v>
      </c>
      <c r="T2" s="16">
        <v>20</v>
      </c>
      <c r="U2" s="16">
        <v>21</v>
      </c>
      <c r="V2" s="17">
        <v>22</v>
      </c>
      <c r="W2" s="19">
        <v>23</v>
      </c>
      <c r="X2" s="16">
        <v>24</v>
      </c>
    </row>
    <row r="3" spans="1:24" ht="108" x14ac:dyDescent="0.2">
      <c r="A3" s="15">
        <v>1</v>
      </c>
      <c r="B3" s="20" t="s">
        <v>256</v>
      </c>
      <c r="C3" s="21">
        <v>11727067</v>
      </c>
      <c r="D3" s="365">
        <f>'Budžeta tāme'!D5+'Budžeta tāme'!D10+'Budžeta tāme'!D13+'Budžeta tāme'!D23+'Budžeta tāme'!D24+'Budžeta tāme'!D27+'Budžeta tāme'!D28</f>
        <v>12243909</v>
      </c>
      <c r="E3" s="21">
        <f>'Budžeta tāme'!E5+'Budžeta tāme'!E10+'Budžeta tāme'!E13+'Budžeta tāme'!E23+'Budžeta tāme'!E24+'Budžeta tāme'!E27+'Budžeta tāme'!E28</f>
        <v>2838957</v>
      </c>
      <c r="F3" s="21">
        <f>'Budžeta tāme'!F5+'Budžeta tāme'!F10+'Budžeta tāme'!F13+'Budžeta tāme'!F23+'Budžeta tāme'!F24+'Budžeta tāme'!F27+'Budžeta tāme'!F28</f>
        <v>2721039</v>
      </c>
      <c r="G3" s="21">
        <f>'Budžeta tāme'!G5+'Budžeta tāme'!G10+'Budžeta tāme'!G13+'Budžeta tāme'!G23+'Budžeta tāme'!G24+'Budžeta tāme'!G27+'Budžeta tāme'!G28</f>
        <v>-117918</v>
      </c>
      <c r="H3" s="23">
        <f t="shared" ref="H3:H20" si="0">IFERROR(G3/ABS(E3), "-")</f>
        <v>-4.1535676658716561E-2</v>
      </c>
      <c r="I3" s="21"/>
      <c r="J3" s="365">
        <f>'Budžeta tāme'!J5+'Budžeta tāme'!J10+'Budžeta tāme'!J13+'Budžeta tāme'!J23+'Budžeta tāme'!J24+'Budžeta tāme'!J27+'Budžeta tāme'!J28</f>
        <v>5925714</v>
      </c>
      <c r="K3" s="336">
        <f>'Budžeta tāme'!K5+'Budžeta tāme'!K10+'Budžeta tāme'!K13+'Budžeta tāme'!K23+'Budžeta tāme'!K24+'Budžeta tāme'!K27+'Budžeta tāme'!K28</f>
        <v>5843509</v>
      </c>
      <c r="L3" s="21">
        <f>'Budžeta tāme'!L5+'Budžeta tāme'!L10+'Budžeta tāme'!L13+'Budžeta tāme'!L23+'Budžeta tāme'!L24+'Budžeta tāme'!L27+'Budžeta tāme'!L28</f>
        <v>-82205</v>
      </c>
      <c r="M3" s="404">
        <f>'Budžeta tāme'!M5+'Budžeta tāme'!M10+'Budžeta tāme'!M13+'Budžeta tāme'!M23+'Budžeta tāme'!M24+'Budžeta tāme'!M27+'Budžeta tāme'!M28</f>
        <v>-0.19253514015227793</v>
      </c>
      <c r="N3" s="405" t="s">
        <v>404</v>
      </c>
      <c r="O3" s="365">
        <f>'Budžeta tāme'!O5+'Budžeta tāme'!O10+'Budžeta tāme'!O13+'Budžeta tāme'!O23+'Budžeta tāme'!O24+'Budžeta tāme'!O27+'Budžeta tāme'!O28</f>
        <v>9081935</v>
      </c>
      <c r="P3" s="21">
        <f>'Budžeta tāme'!P5+'Budžeta tāme'!P10+'Budžeta tāme'!P13+'Budžeta tāme'!P23+'Budžeta tāme'!P24+'Budžeta tāme'!P27+'Budžeta tāme'!P28</f>
        <v>9052787</v>
      </c>
      <c r="Q3" s="21">
        <f>'Budžeta tāme'!Q5+'Budžeta tāme'!Q10+'Budžeta tāme'!Q13+'Budžeta tāme'!Q23+'Budžeta tāme'!Q24+'Budžeta tāme'!Q27+'Budžeta tāme'!Q28</f>
        <v>-29148</v>
      </c>
      <c r="R3" s="21">
        <f>'Budžeta tāme'!R5+'Budžeta tāme'!R10+'Budžeta tāme'!R13+'Budžeta tāme'!R23+'Budžeta tāme'!R24+'Budžeta tāme'!R27+'Budžeta tāme'!R28</f>
        <v>-0.11208130686051748</v>
      </c>
      <c r="S3" s="21"/>
      <c r="T3" s="21">
        <f>'Budžeta tāme'!T5+'Budžeta tāme'!T10+'Budžeta tāme'!T13+'Budžeta tāme'!T23+'Budžeta tāme'!T24+'Budžeta tāme'!T27+'Budžeta tāme'!T28</f>
        <v>12243909</v>
      </c>
      <c r="U3" s="21"/>
      <c r="V3" s="22">
        <f>U3-T3</f>
        <v>-12243909</v>
      </c>
      <c r="W3" s="23">
        <f>IFERROR(V3/ABS(T3), "-")</f>
        <v>-1</v>
      </c>
      <c r="X3" s="24"/>
    </row>
    <row r="4" spans="1:24" ht="38.25" x14ac:dyDescent="0.2">
      <c r="A4" s="15">
        <v>2</v>
      </c>
      <c r="B4" s="20" t="s">
        <v>271</v>
      </c>
      <c r="C4" s="21">
        <v>10624170</v>
      </c>
      <c r="D4" s="365">
        <f>'Budžeta tāme'!D172-'PZ Aprēķins'!D7-'PZ Aprēķins'!D9</f>
        <v>11985344</v>
      </c>
      <c r="E4" s="21">
        <f>'Budžeta tāme'!E172-'PZ Aprēķins'!E7-'PZ Aprēķins'!E9</f>
        <v>2854768</v>
      </c>
      <c r="F4" s="21">
        <f>'Budžeta tāme'!F172-'PZ Aprēķins'!F7-'PZ Aprēķins'!F9</f>
        <v>2790677</v>
      </c>
      <c r="G4" s="21">
        <f>'Budžeta tāme'!G172-'PZ Aprēķins'!G7-'PZ Aprēķins'!G9</f>
        <v>-64465</v>
      </c>
      <c r="H4" s="23">
        <f t="shared" si="0"/>
        <v>-2.2581519759223866E-2</v>
      </c>
      <c r="I4" s="21"/>
      <c r="J4" s="365">
        <f>'Budžeta tāme'!J172-'PZ Aprēķins'!J7-'PZ Aprēķins'!J9</f>
        <v>5620602</v>
      </c>
      <c r="K4" s="336">
        <f>'Budžeta tāme'!K172-'PZ Aprēķins'!K7-'PZ Aprēķins'!K9</f>
        <v>5679509</v>
      </c>
      <c r="L4" s="21">
        <f>'Budžeta tāme'!L172-'PZ Aprēķins'!L7-'PZ Aprēķins'!L9</f>
        <v>61745</v>
      </c>
      <c r="M4" s="404">
        <f>'Budžeta tāme'!M172-'PZ Aprēķins'!M7-'PZ Aprēķins'!M9</f>
        <v>-1.322093809378061E-3</v>
      </c>
      <c r="N4" s="405" t="s">
        <v>406</v>
      </c>
      <c r="O4" s="365">
        <f>'Budžeta tāme'!O172-'PZ Aprēķins'!O7-'PZ Aprēķins'!O9</f>
        <v>8338097</v>
      </c>
      <c r="P4" s="21">
        <f>'Budžeta tāme'!P172-'PZ Aprēķins'!P7-'PZ Aprēķins'!P9</f>
        <v>8613284</v>
      </c>
      <c r="Q4" s="21">
        <f>'Budžeta tāme'!Q172-'PZ Aprēķins'!Q7-'PZ Aprēķins'!Q9</f>
        <v>275187</v>
      </c>
      <c r="R4" s="21">
        <f>'Budžeta tāme'!R172-'PZ Aprēķins'!R7-'PZ Aprēķins'!R9</f>
        <v>-1.6868231932911886</v>
      </c>
      <c r="S4" s="411" t="s">
        <v>424</v>
      </c>
      <c r="T4" s="21">
        <f>'Budžeta tāme'!T172-'PZ Aprēķins'!T7-'PZ Aprēķins'!T9</f>
        <v>11985344</v>
      </c>
      <c r="U4" s="21"/>
      <c r="V4" s="22">
        <f t="shared" ref="V4:V9" si="1">U4-T4</f>
        <v>-11985344</v>
      </c>
      <c r="W4" s="23">
        <f t="shared" ref="W4:W9" si="2">IFERROR(V4/ABS(T4), "-")</f>
        <v>-1</v>
      </c>
      <c r="X4" s="24"/>
    </row>
    <row r="5" spans="1:24" ht="89.25" x14ac:dyDescent="0.2">
      <c r="A5" s="25">
        <v>3</v>
      </c>
      <c r="B5" s="26" t="s">
        <v>257</v>
      </c>
      <c r="C5" s="27">
        <f>C3-C4</f>
        <v>1102897</v>
      </c>
      <c r="D5" s="366">
        <f t="shared" ref="D5:E5" si="3">D3-D4</f>
        <v>258565</v>
      </c>
      <c r="E5" s="27">
        <f t="shared" si="3"/>
        <v>-15811</v>
      </c>
      <c r="F5" s="27">
        <f>F3-F4</f>
        <v>-69638</v>
      </c>
      <c r="G5" s="28">
        <f t="shared" ref="G5:G19" si="4">F5-E5</f>
        <v>-53827</v>
      </c>
      <c r="H5" s="29">
        <f t="shared" si="0"/>
        <v>-3.4044019986085639</v>
      </c>
      <c r="I5" s="309" t="s">
        <v>390</v>
      </c>
      <c r="J5" s="366">
        <f t="shared" ref="J5" si="5">J3-J4</f>
        <v>305112</v>
      </c>
      <c r="K5" s="337">
        <f>K3-K4</f>
        <v>164000</v>
      </c>
      <c r="L5" s="28">
        <f t="shared" ref="L5:L7" si="6">K5-J5</f>
        <v>-141112</v>
      </c>
      <c r="M5" s="29">
        <f t="shared" ref="M5:M7" si="7">IFERROR(L5/ABS(J5), "-")</f>
        <v>-0.46249246178452502</v>
      </c>
      <c r="N5" s="30"/>
      <c r="O5" s="366">
        <f t="shared" ref="O5" si="8">O3-O4</f>
        <v>743838</v>
      </c>
      <c r="P5" s="27">
        <f>P3-P4</f>
        <v>439503</v>
      </c>
      <c r="Q5" s="28">
        <f t="shared" ref="Q5:Q7" si="9">P5-O5</f>
        <v>-304335</v>
      </c>
      <c r="R5" s="29">
        <f t="shared" ref="R5:R7" si="10">IFERROR(Q5/ABS(O5), "-")</f>
        <v>-0.40914150661837656</v>
      </c>
      <c r="S5" s="30"/>
      <c r="T5" s="27">
        <f t="shared" ref="T5" si="11">T3-T4</f>
        <v>258565</v>
      </c>
      <c r="U5" s="27">
        <f>U3-U4</f>
        <v>0</v>
      </c>
      <c r="V5" s="28">
        <f t="shared" si="1"/>
        <v>-258565</v>
      </c>
      <c r="W5" s="29">
        <f t="shared" si="2"/>
        <v>-1</v>
      </c>
      <c r="X5" s="30"/>
    </row>
    <row r="6" spans="1:24" x14ac:dyDescent="0.2">
      <c r="A6" s="15">
        <v>4</v>
      </c>
      <c r="B6" s="20" t="s">
        <v>258</v>
      </c>
      <c r="C6" s="21"/>
      <c r="D6" s="365"/>
      <c r="E6" s="21"/>
      <c r="F6" s="21"/>
      <c r="G6" s="22">
        <f t="shared" si="4"/>
        <v>0</v>
      </c>
      <c r="H6" s="23" t="str">
        <f t="shared" si="0"/>
        <v>-</v>
      </c>
      <c r="I6" s="24"/>
      <c r="J6" s="365"/>
      <c r="K6" s="336"/>
      <c r="L6" s="22">
        <f t="shared" si="6"/>
        <v>0</v>
      </c>
      <c r="M6" s="23" t="str">
        <f t="shared" si="7"/>
        <v>-</v>
      </c>
      <c r="N6" s="24"/>
      <c r="O6" s="365"/>
      <c r="P6" s="21"/>
      <c r="Q6" s="22">
        <f t="shared" si="9"/>
        <v>0</v>
      </c>
      <c r="R6" s="23" t="str">
        <f t="shared" si="10"/>
        <v>-</v>
      </c>
      <c r="S6" s="24"/>
      <c r="T6" s="21"/>
      <c r="U6" s="21"/>
      <c r="V6" s="22">
        <f t="shared" si="1"/>
        <v>0</v>
      </c>
      <c r="W6" s="23" t="str">
        <f t="shared" si="2"/>
        <v>-</v>
      </c>
      <c r="X6" s="24"/>
    </row>
    <row r="7" spans="1:24" x14ac:dyDescent="0.2">
      <c r="A7" s="15">
        <v>5</v>
      </c>
      <c r="B7" s="20" t="s">
        <v>259</v>
      </c>
      <c r="C7" s="21">
        <v>607084</v>
      </c>
      <c r="D7" s="365">
        <f>635649+4556+3025+20000</f>
        <v>663230</v>
      </c>
      <c r="E7" s="21">
        <f>165828+8034</f>
        <v>173862</v>
      </c>
      <c r="F7" s="21">
        <v>163720</v>
      </c>
      <c r="G7" s="22">
        <f t="shared" si="4"/>
        <v>-10142</v>
      </c>
      <c r="H7" s="23">
        <f t="shared" si="0"/>
        <v>-5.8333620917739359E-2</v>
      </c>
      <c r="I7" s="24"/>
      <c r="J7" s="365">
        <f>323521+16069</f>
        <v>339590</v>
      </c>
      <c r="K7" s="336">
        <v>333994</v>
      </c>
      <c r="L7" s="22">
        <f t="shared" si="6"/>
        <v>-5596</v>
      </c>
      <c r="M7" s="23">
        <f t="shared" si="7"/>
        <v>-1.6478694896787303E-2</v>
      </c>
      <c r="N7" s="24"/>
      <c r="O7" s="365">
        <f>478385+24103</f>
        <v>502488</v>
      </c>
      <c r="P7" s="21">
        <v>510923</v>
      </c>
      <c r="Q7" s="22">
        <f t="shared" si="9"/>
        <v>8435</v>
      </c>
      <c r="R7" s="23">
        <f t="shared" si="10"/>
        <v>1.6786470522679148E-2</v>
      </c>
      <c r="S7" s="24"/>
      <c r="T7" s="21">
        <f>D7</f>
        <v>663230</v>
      </c>
      <c r="U7" s="21"/>
      <c r="V7" s="22">
        <f t="shared" si="1"/>
        <v>-663230</v>
      </c>
      <c r="W7" s="23">
        <f t="shared" si="2"/>
        <v>-1</v>
      </c>
      <c r="X7" s="24"/>
    </row>
    <row r="8" spans="1:24" ht="38.25" x14ac:dyDescent="0.2">
      <c r="A8" s="15">
        <v>6</v>
      </c>
      <c r="B8" s="20" t="s">
        <v>260</v>
      </c>
      <c r="C8" s="21">
        <v>547089</v>
      </c>
      <c r="D8" s="365">
        <f>'Budžeta tāme'!D25+'Budžeta tāme'!D26+'Budžeta tāme'!D162+'Budžeta tāme'!D29</f>
        <v>75747</v>
      </c>
      <c r="E8" s="21">
        <f>'Budžeta tāme'!E25+'Budžeta tāme'!E26+'Budžeta tāme'!E162</f>
        <v>19937</v>
      </c>
      <c r="F8" s="21">
        <f>'Budžeta tāme'!F25+'Budžeta tāme'!F26+'Budžeta tāme'!F162+'Budžeta tāme'!F29</f>
        <v>20367</v>
      </c>
      <c r="G8" s="21">
        <f>'Budžeta tāme'!G25+'Budžeta tāme'!G26+'Budžeta tāme'!G162</f>
        <v>-427</v>
      </c>
      <c r="H8" s="23">
        <f t="shared" si="0"/>
        <v>-2.1417465014796608E-2</v>
      </c>
      <c r="I8" s="21"/>
      <c r="J8" s="365">
        <f>'Budžeta tāme'!J25+'Budžeta tāme'!J26+'Budžeta tāme'!J162+'Budžeta tāme'!J29</f>
        <v>37074</v>
      </c>
      <c r="K8" s="336">
        <f>'Budžeta tāme'!K25+'Budžeta tāme'!K26+'Budžeta tāme'!K162+'Budžeta tāme'!K29+'Budžeta tāme'!K31</f>
        <v>44820</v>
      </c>
      <c r="L8" s="21">
        <f>'Budžeta tāme'!L25+'Budžeta tāme'!L26+'Budžeta tāme'!L162</f>
        <v>6218</v>
      </c>
      <c r="M8" s="21">
        <f>'Budžeta tāme'!M25+'Budžeta tāme'!M26+'Budžeta tāme'!M162</f>
        <v>0.45832045088566831</v>
      </c>
      <c r="N8" s="21"/>
      <c r="O8" s="365">
        <f>'Budžeta tāme'!O25+'Budžeta tāme'!O26+'Budžeta tāme'!O162+'Budžeta tāme'!O29</f>
        <v>56110</v>
      </c>
      <c r="P8" s="21">
        <f>'Budžeta tāme'!P25+'Budžeta tāme'!P26+'Budžeta tāme'!P162+'Budžeta tāme'!P31+'Budžeta tāme'!P29</f>
        <v>87996</v>
      </c>
      <c r="Q8" s="22">
        <f t="shared" ref="Q8:Q9" si="12">P8-O8</f>
        <v>31886</v>
      </c>
      <c r="R8" s="23">
        <f t="shared" ref="R8:R9" si="13">IFERROR(Q8/ABS(O8), "-")</f>
        <v>0.56827659953662446</v>
      </c>
      <c r="S8" s="411" t="s">
        <v>425</v>
      </c>
      <c r="T8" s="21">
        <f>'Budžeta tāme'!T25+'Budžeta tāme'!T26+'Budžeta tāme'!T162+'Budžeta tāme'!T29</f>
        <v>75747</v>
      </c>
      <c r="U8" s="21"/>
      <c r="V8" s="22">
        <f t="shared" si="1"/>
        <v>-75747</v>
      </c>
      <c r="W8" s="23">
        <f t="shared" si="2"/>
        <v>-1</v>
      </c>
      <c r="X8" s="24"/>
    </row>
    <row r="9" spans="1:24" ht="38.25" x14ac:dyDescent="0.2">
      <c r="A9" s="15">
        <v>7</v>
      </c>
      <c r="B9" s="20" t="s">
        <v>261</v>
      </c>
      <c r="C9" s="21">
        <v>506870</v>
      </c>
      <c r="D9" s="365">
        <f>'Budžeta tāme'!D171+'Budžeta tāme'!D169+'Budžeta tāme'!D168+'Budžeta tāme'!D130+'Budžeta tāme'!D57</f>
        <v>78949</v>
      </c>
      <c r="E9" s="21">
        <f>'Budžeta tāme'!E171+'Budžeta tāme'!E169+'Budžeta tāme'!E168+'Budžeta tāme'!E130+'Budžeta tāme'!E57</f>
        <v>17066</v>
      </c>
      <c r="F9" s="21">
        <v>16902</v>
      </c>
      <c r="G9" s="21">
        <f>'Budžeta tāme'!G171+'Budžeta tāme'!G169+'Budžeta tāme'!G168+'Budžeta tāme'!G130+'Budžeta tāme'!G57</f>
        <v>210</v>
      </c>
      <c r="H9" s="23">
        <f t="shared" si="0"/>
        <v>1.2305168170631665E-2</v>
      </c>
      <c r="I9" s="21"/>
      <c r="J9" s="365">
        <f>'Budžeta tāme'!J171+'Budžeta tāme'!J169+'Budžeta tāme'!J168+'Budžeta tāme'!J130+'Budžeta tāme'!J57</f>
        <v>34077</v>
      </c>
      <c r="K9" s="336">
        <v>36770</v>
      </c>
      <c r="L9" s="21">
        <f>'Budžeta tāme'!L171+'Budžeta tāme'!L169+'Budžeta tāme'!L168+'Budžeta tāme'!L130+'Budžeta tāme'!L57</f>
        <v>-145</v>
      </c>
      <c r="M9" s="21">
        <f>'Budžeta tāme'!M26+'Budžeta tāme'!M27+'Budžeta tāme'!M163</f>
        <v>2.714371275578676E-2</v>
      </c>
      <c r="N9" s="21"/>
      <c r="O9" s="365">
        <f>'Budžeta tāme'!O171+'Budžeta tāme'!O169+'Budžeta tāme'!O168+'Budžeta tāme'!O130+'Budžeta tāme'!O57</f>
        <v>50413</v>
      </c>
      <c r="P9" s="21">
        <f>'Budžeta tāme'!P171+'Budžeta tāme'!P169+'Budžeta tāme'!P168+'Budžeta tāme'!P130+'Budžeta tāme'!P57</f>
        <v>136702</v>
      </c>
      <c r="Q9" s="22">
        <f t="shared" si="12"/>
        <v>86289</v>
      </c>
      <c r="R9" s="23">
        <f t="shared" si="13"/>
        <v>1.7116418384146945</v>
      </c>
      <c r="S9" s="411" t="s">
        <v>426</v>
      </c>
      <c r="T9" s="21">
        <f>'Budžeta tāme'!T171+'Budžeta tāme'!T169+'Budžeta tāme'!T168+'Budžeta tāme'!T130+'Budžeta tāme'!T57</f>
        <v>78949</v>
      </c>
      <c r="U9" s="21"/>
      <c r="V9" s="22">
        <f t="shared" si="1"/>
        <v>-78949</v>
      </c>
      <c r="W9" s="23">
        <f t="shared" si="2"/>
        <v>-1</v>
      </c>
      <c r="X9" s="24"/>
    </row>
    <row r="10" spans="1:24" x14ac:dyDescent="0.2">
      <c r="A10" s="15">
        <v>8</v>
      </c>
      <c r="B10" s="20" t="s">
        <v>289</v>
      </c>
      <c r="C10" s="21"/>
      <c r="D10" s="365"/>
      <c r="E10" s="21"/>
      <c r="F10" s="21"/>
      <c r="G10" s="22">
        <f>F10-E10</f>
        <v>0</v>
      </c>
      <c r="H10" s="23" t="str">
        <f>IFERROR(G10/ABS(E10), "-")</f>
        <v>-</v>
      </c>
      <c r="I10" s="24"/>
      <c r="J10" s="365"/>
      <c r="K10" s="336"/>
      <c r="L10" s="22">
        <f>K10-J10</f>
        <v>0</v>
      </c>
      <c r="M10" s="23" t="str">
        <f>IFERROR(L10/ABS(J10), "-")</f>
        <v>-</v>
      </c>
      <c r="N10" s="24"/>
      <c r="O10" s="365"/>
      <c r="P10" s="21"/>
      <c r="Q10" s="22">
        <f>P10-O10</f>
        <v>0</v>
      </c>
      <c r="R10" s="23" t="str">
        <f>IFERROR(Q10/ABS(O10), "-")</f>
        <v>-</v>
      </c>
      <c r="S10" s="24"/>
      <c r="T10" s="21"/>
      <c r="U10" s="21"/>
      <c r="V10" s="22">
        <f>U10-T10</f>
        <v>0</v>
      </c>
      <c r="W10" s="23" t="str">
        <f>IFERROR(V10/ABS(T10), "-")</f>
        <v>-</v>
      </c>
      <c r="X10" s="24"/>
    </row>
    <row r="11" spans="1:24" ht="31.5" x14ac:dyDescent="0.2">
      <c r="A11" s="15">
        <v>9</v>
      </c>
      <c r="B11" s="20" t="s">
        <v>262</v>
      </c>
      <c r="C11" s="21"/>
      <c r="D11" s="365"/>
      <c r="E11" s="21"/>
      <c r="F11" s="21"/>
      <c r="G11" s="22">
        <f t="shared" si="4"/>
        <v>0</v>
      </c>
      <c r="H11" s="23" t="str">
        <f t="shared" si="0"/>
        <v>-</v>
      </c>
      <c r="I11" s="24"/>
      <c r="J11" s="365"/>
      <c r="K11" s="336"/>
      <c r="L11" s="22">
        <f t="shared" ref="L11:L19" si="14">K11-J11</f>
        <v>0</v>
      </c>
      <c r="M11" s="23" t="str">
        <f t="shared" ref="M11:M20" si="15">IFERROR(L11/ABS(J11), "-")</f>
        <v>-</v>
      </c>
      <c r="N11" s="24"/>
      <c r="O11" s="365"/>
      <c r="P11" s="21"/>
      <c r="Q11" s="22">
        <f t="shared" ref="Q11:Q19" si="16">P11-O11</f>
        <v>0</v>
      </c>
      <c r="R11" s="23" t="str">
        <f t="shared" ref="R11:R20" si="17">IFERROR(Q11/ABS(O11), "-")</f>
        <v>-</v>
      </c>
      <c r="S11" s="24"/>
      <c r="T11" s="21"/>
      <c r="U11" s="21"/>
      <c r="V11" s="22">
        <f t="shared" ref="V11:V20" si="18">U11-T11</f>
        <v>0</v>
      </c>
      <c r="W11" s="23" t="str">
        <f t="shared" ref="W11:W19" si="19">IFERROR(V11/ABS(T11), "-")</f>
        <v>-</v>
      </c>
      <c r="X11" s="24"/>
    </row>
    <row r="12" spans="1:24" x14ac:dyDescent="0.2">
      <c r="A12" s="15">
        <v>10</v>
      </c>
      <c r="B12" s="20" t="s">
        <v>263</v>
      </c>
      <c r="C12" s="21"/>
      <c r="D12" s="365"/>
      <c r="E12" s="21"/>
      <c r="F12" s="21"/>
      <c r="G12" s="22">
        <f t="shared" si="4"/>
        <v>0</v>
      </c>
      <c r="H12" s="23" t="str">
        <f t="shared" si="0"/>
        <v>-</v>
      </c>
      <c r="I12" s="24"/>
      <c r="J12" s="365"/>
      <c r="K12" s="336"/>
      <c r="L12" s="22">
        <f t="shared" si="14"/>
        <v>0</v>
      </c>
      <c r="M12" s="23" t="str">
        <f t="shared" si="15"/>
        <v>-</v>
      </c>
      <c r="N12" s="24"/>
      <c r="O12" s="365"/>
      <c r="P12" s="21"/>
      <c r="Q12" s="22">
        <f t="shared" si="16"/>
        <v>0</v>
      </c>
      <c r="R12" s="23" t="str">
        <f t="shared" si="17"/>
        <v>-</v>
      </c>
      <c r="S12" s="24"/>
      <c r="T12" s="21"/>
      <c r="U12" s="21"/>
      <c r="V12" s="22">
        <f t="shared" si="18"/>
        <v>0</v>
      </c>
      <c r="W12" s="23" t="str">
        <f t="shared" si="19"/>
        <v>-</v>
      </c>
      <c r="X12" s="24"/>
    </row>
    <row r="13" spans="1:24" ht="17.45" customHeight="1" x14ac:dyDescent="0.2">
      <c r="A13" s="15">
        <v>11</v>
      </c>
      <c r="B13" s="20" t="s">
        <v>290</v>
      </c>
      <c r="C13" s="21"/>
      <c r="D13" s="365"/>
      <c r="E13" s="21"/>
      <c r="F13" s="21"/>
      <c r="G13" s="22">
        <f t="shared" si="4"/>
        <v>0</v>
      </c>
      <c r="H13" s="23" t="str">
        <f t="shared" si="0"/>
        <v>-</v>
      </c>
      <c r="I13" s="24"/>
      <c r="J13" s="365"/>
      <c r="K13" s="336"/>
      <c r="L13" s="22">
        <f t="shared" si="14"/>
        <v>0</v>
      </c>
      <c r="M13" s="23" t="str">
        <f t="shared" si="15"/>
        <v>-</v>
      </c>
      <c r="N13" s="24"/>
      <c r="O13" s="365"/>
      <c r="P13" s="21"/>
      <c r="Q13" s="22">
        <f t="shared" si="16"/>
        <v>0</v>
      </c>
      <c r="R13" s="23" t="str">
        <f t="shared" si="17"/>
        <v>-</v>
      </c>
      <c r="S13" s="24"/>
      <c r="T13" s="21"/>
      <c r="U13" s="21"/>
      <c r="V13" s="22">
        <f t="shared" si="18"/>
        <v>0</v>
      </c>
      <c r="W13" s="23" t="str">
        <f t="shared" si="19"/>
        <v>-</v>
      </c>
      <c r="X13" s="24"/>
    </row>
    <row r="14" spans="1:24" x14ac:dyDescent="0.2">
      <c r="A14" s="15">
        <v>12</v>
      </c>
      <c r="B14" s="20" t="s">
        <v>264</v>
      </c>
      <c r="C14" s="21"/>
      <c r="D14" s="365"/>
      <c r="E14" s="21"/>
      <c r="F14" s="21"/>
      <c r="G14" s="22">
        <f t="shared" si="4"/>
        <v>0</v>
      </c>
      <c r="H14" s="23" t="str">
        <f t="shared" si="0"/>
        <v>-</v>
      </c>
      <c r="I14" s="24"/>
      <c r="J14" s="365"/>
      <c r="K14" s="336"/>
      <c r="L14" s="22">
        <f t="shared" si="14"/>
        <v>0</v>
      </c>
      <c r="M14" s="23" t="str">
        <f t="shared" si="15"/>
        <v>-</v>
      </c>
      <c r="N14" s="24"/>
      <c r="O14" s="365"/>
      <c r="P14" s="21"/>
      <c r="Q14" s="22">
        <f t="shared" si="16"/>
        <v>0</v>
      </c>
      <c r="R14" s="23" t="str">
        <f t="shared" si="17"/>
        <v>-</v>
      </c>
      <c r="S14" s="24"/>
      <c r="T14" s="21"/>
      <c r="U14" s="21"/>
      <c r="V14" s="22">
        <f t="shared" si="18"/>
        <v>0</v>
      </c>
      <c r="W14" s="23" t="str">
        <f t="shared" si="19"/>
        <v>-</v>
      </c>
      <c r="X14" s="24"/>
    </row>
    <row r="15" spans="1:24" x14ac:dyDescent="0.2">
      <c r="A15" s="25">
        <v>13</v>
      </c>
      <c r="B15" s="26" t="s">
        <v>291</v>
      </c>
      <c r="C15" s="27">
        <f>C5-C6-C7+C8-C9+C10+C11+C12-C13-C14</f>
        <v>536032</v>
      </c>
      <c r="D15" s="366">
        <f>D5-D6-D7+D8-D9+D10+D11+D12-D13-D14</f>
        <v>-407867</v>
      </c>
      <c r="E15" s="27">
        <f t="shared" ref="E15:F15" si="20">E5-E6-E7+E8-E9+E10+E11+E12-E13-E14</f>
        <v>-186802</v>
      </c>
      <c r="F15" s="27">
        <f t="shared" si="20"/>
        <v>-229893</v>
      </c>
      <c r="G15" s="28">
        <f t="shared" si="4"/>
        <v>-43091</v>
      </c>
      <c r="H15" s="29">
        <f t="shared" si="0"/>
        <v>-0.23067740174088072</v>
      </c>
      <c r="I15" s="30"/>
      <c r="J15" s="366">
        <f t="shared" ref="J15:K15" si="21">J5-J6-J7+J8-J9+J10+J11+J12-J13-J14</f>
        <v>-31481</v>
      </c>
      <c r="K15" s="337">
        <f t="shared" si="21"/>
        <v>-161944</v>
      </c>
      <c r="L15" s="28">
        <f t="shared" si="14"/>
        <v>-130463</v>
      </c>
      <c r="M15" s="29">
        <f t="shared" si="15"/>
        <v>-4.1441822051396082</v>
      </c>
      <c r="N15" s="30"/>
      <c r="O15" s="366">
        <f t="shared" ref="O15:P15" si="22">O5-O6-O7+O8-O9+O10+O11+O12-O13-O14</f>
        <v>247047</v>
      </c>
      <c r="P15" s="27">
        <f t="shared" si="22"/>
        <v>-120126</v>
      </c>
      <c r="Q15" s="28">
        <f t="shared" si="16"/>
        <v>-367173</v>
      </c>
      <c r="R15" s="29">
        <f t="shared" si="17"/>
        <v>-1.4862475561330435</v>
      </c>
      <c r="S15" s="30"/>
      <c r="T15" s="27">
        <f t="shared" ref="T15" si="23">T5-T6-T7+T8-T9+T10+T11+T12-T13-T14</f>
        <v>-407867</v>
      </c>
      <c r="U15" s="27">
        <f>U5-U6-U7+U8-U9+U10+U11+U12-U13-U14</f>
        <v>0</v>
      </c>
      <c r="V15" s="28">
        <f t="shared" si="18"/>
        <v>407867</v>
      </c>
      <c r="W15" s="29">
        <f t="shared" si="19"/>
        <v>1</v>
      </c>
      <c r="X15" s="30"/>
    </row>
    <row r="16" spans="1:24" x14ac:dyDescent="0.2">
      <c r="A16" s="15">
        <v>14</v>
      </c>
      <c r="B16" s="20" t="s">
        <v>292</v>
      </c>
      <c r="C16" s="21"/>
      <c r="D16" s="365"/>
      <c r="E16" s="21"/>
      <c r="F16" s="21"/>
      <c r="G16" s="22">
        <f t="shared" si="4"/>
        <v>0</v>
      </c>
      <c r="H16" s="23" t="str">
        <f>IFERROR(G16/ABS(E16), "-")</f>
        <v>-</v>
      </c>
      <c r="I16" s="24"/>
      <c r="J16" s="365"/>
      <c r="K16" s="336"/>
      <c r="L16" s="22">
        <f t="shared" si="14"/>
        <v>0</v>
      </c>
      <c r="M16" s="23" t="str">
        <f t="shared" si="15"/>
        <v>-</v>
      </c>
      <c r="N16" s="24"/>
      <c r="O16" s="365"/>
      <c r="P16" s="21"/>
      <c r="Q16" s="22">
        <f t="shared" si="16"/>
        <v>0</v>
      </c>
      <c r="R16" s="23" t="str">
        <f t="shared" si="17"/>
        <v>-</v>
      </c>
      <c r="S16" s="24"/>
      <c r="T16" s="21"/>
      <c r="U16" s="21"/>
      <c r="V16" s="22">
        <f t="shared" si="18"/>
        <v>0</v>
      </c>
      <c r="W16" s="23" t="str">
        <f t="shared" si="19"/>
        <v>-</v>
      </c>
      <c r="X16" s="24"/>
    </row>
    <row r="17" spans="1:24" ht="31.5" x14ac:dyDescent="0.2">
      <c r="A17" s="25">
        <v>15</v>
      </c>
      <c r="B17" s="26" t="s">
        <v>293</v>
      </c>
      <c r="C17" s="31">
        <f>C15-C16</f>
        <v>536032</v>
      </c>
      <c r="D17" s="367">
        <f t="shared" ref="D17:Q17" si="24">D15-D16</f>
        <v>-407867</v>
      </c>
      <c r="E17" s="31">
        <f t="shared" si="24"/>
        <v>-186802</v>
      </c>
      <c r="F17" s="31">
        <f t="shared" si="24"/>
        <v>-229893</v>
      </c>
      <c r="G17" s="31">
        <f t="shared" si="24"/>
        <v>-43091</v>
      </c>
      <c r="H17" s="189">
        <f>IFERROR(G17/ABS(E17), "-")</f>
        <v>-0.23067740174088072</v>
      </c>
      <c r="I17" s="31"/>
      <c r="J17" s="367">
        <f t="shared" si="24"/>
        <v>-31481</v>
      </c>
      <c r="K17" s="338">
        <f t="shared" si="24"/>
        <v>-161944</v>
      </c>
      <c r="L17" s="31">
        <f>L15-L16</f>
        <v>-130463</v>
      </c>
      <c r="M17" s="189">
        <f t="shared" si="15"/>
        <v>-4.1441822051396082</v>
      </c>
      <c r="N17" s="31"/>
      <c r="O17" s="367">
        <f t="shared" si="24"/>
        <v>247047</v>
      </c>
      <c r="P17" s="31">
        <f t="shared" si="24"/>
        <v>-120126</v>
      </c>
      <c r="Q17" s="31">
        <f t="shared" si="24"/>
        <v>-367173</v>
      </c>
      <c r="R17" s="189">
        <f t="shared" si="17"/>
        <v>-1.4862475561330435</v>
      </c>
      <c r="S17" s="31"/>
      <c r="T17" s="31">
        <f>T15-T16</f>
        <v>-407867</v>
      </c>
      <c r="U17" s="31">
        <f>U15-U16</f>
        <v>0</v>
      </c>
      <c r="V17" s="190">
        <f t="shared" si="18"/>
        <v>407867</v>
      </c>
      <c r="W17" s="189">
        <f>IFERROR(V17/ABS(T17), "-")</f>
        <v>1</v>
      </c>
      <c r="X17" s="191"/>
    </row>
    <row r="18" spans="1:24" ht="31.5" x14ac:dyDescent="0.2">
      <c r="A18" s="15">
        <v>16</v>
      </c>
      <c r="B18" s="20" t="s">
        <v>294</v>
      </c>
      <c r="C18" s="21"/>
      <c r="D18" s="365"/>
      <c r="E18" s="21"/>
      <c r="F18" s="21"/>
      <c r="G18" s="22">
        <f t="shared" si="4"/>
        <v>0</v>
      </c>
      <c r="H18" s="23" t="str">
        <f t="shared" si="0"/>
        <v>-</v>
      </c>
      <c r="I18" s="24"/>
      <c r="J18" s="365"/>
      <c r="K18" s="336"/>
      <c r="L18" s="22">
        <f t="shared" si="14"/>
        <v>0</v>
      </c>
      <c r="M18" s="23" t="str">
        <f t="shared" si="15"/>
        <v>-</v>
      </c>
      <c r="N18" s="24"/>
      <c r="O18" s="365"/>
      <c r="P18" s="21"/>
      <c r="Q18" s="22">
        <f t="shared" si="16"/>
        <v>0</v>
      </c>
      <c r="R18" s="23" t="str">
        <f t="shared" si="17"/>
        <v>-</v>
      </c>
      <c r="S18" s="24"/>
      <c r="T18" s="21"/>
      <c r="U18" s="21"/>
      <c r="V18" s="22">
        <f t="shared" si="18"/>
        <v>0</v>
      </c>
      <c r="W18" s="23" t="str">
        <f t="shared" si="19"/>
        <v>-</v>
      </c>
      <c r="X18" s="24"/>
    </row>
    <row r="19" spans="1:24" x14ac:dyDescent="0.2">
      <c r="A19" s="15">
        <v>17</v>
      </c>
      <c r="B19" s="20" t="s">
        <v>295</v>
      </c>
      <c r="C19" s="21"/>
      <c r="D19" s="365"/>
      <c r="E19" s="21"/>
      <c r="F19" s="21"/>
      <c r="G19" s="22">
        <f t="shared" si="4"/>
        <v>0</v>
      </c>
      <c r="H19" s="23" t="str">
        <f t="shared" si="0"/>
        <v>-</v>
      </c>
      <c r="I19" s="24"/>
      <c r="J19" s="365"/>
      <c r="K19" s="336"/>
      <c r="L19" s="22">
        <f t="shared" si="14"/>
        <v>0</v>
      </c>
      <c r="M19" s="23" t="str">
        <f t="shared" si="15"/>
        <v>-</v>
      </c>
      <c r="N19" s="24"/>
      <c r="O19" s="365"/>
      <c r="P19" s="21"/>
      <c r="Q19" s="22">
        <f t="shared" si="16"/>
        <v>0</v>
      </c>
      <c r="R19" s="23" t="str">
        <f t="shared" si="17"/>
        <v>-</v>
      </c>
      <c r="S19" s="24"/>
      <c r="T19" s="21"/>
      <c r="U19" s="21"/>
      <c r="V19" s="22">
        <f t="shared" si="18"/>
        <v>0</v>
      </c>
      <c r="W19" s="23" t="str">
        <f t="shared" si="19"/>
        <v>-</v>
      </c>
      <c r="X19" s="24"/>
    </row>
    <row r="20" spans="1:24" ht="84" x14ac:dyDescent="0.2">
      <c r="A20" s="246">
        <v>18</v>
      </c>
      <c r="B20" s="247" t="s">
        <v>296</v>
      </c>
      <c r="C20" s="248">
        <f>C17-C18-C19</f>
        <v>536032</v>
      </c>
      <c r="D20" s="368">
        <f t="shared" ref="D20:U20" si="25">D17-D18-D19</f>
        <v>-407867</v>
      </c>
      <c r="E20" s="248">
        <f t="shared" si="25"/>
        <v>-186802</v>
      </c>
      <c r="F20" s="248">
        <f t="shared" si="25"/>
        <v>-229893</v>
      </c>
      <c r="G20" s="248">
        <f t="shared" si="25"/>
        <v>-43091</v>
      </c>
      <c r="H20" s="249">
        <f t="shared" si="0"/>
        <v>-0.23067740174088072</v>
      </c>
      <c r="I20" s="248"/>
      <c r="J20" s="368">
        <f t="shared" si="25"/>
        <v>-31481</v>
      </c>
      <c r="K20" s="339">
        <f t="shared" si="25"/>
        <v>-161944</v>
      </c>
      <c r="L20" s="248">
        <f t="shared" si="25"/>
        <v>-130463</v>
      </c>
      <c r="M20" s="249">
        <f t="shared" si="15"/>
        <v>-4.1441822051396082</v>
      </c>
      <c r="N20" s="406" t="s">
        <v>407</v>
      </c>
      <c r="O20" s="368">
        <f t="shared" si="25"/>
        <v>247047</v>
      </c>
      <c r="P20" s="248">
        <f t="shared" si="25"/>
        <v>-120126</v>
      </c>
      <c r="Q20" s="248">
        <f t="shared" si="25"/>
        <v>-367173</v>
      </c>
      <c r="R20" s="249">
        <f t="shared" si="17"/>
        <v>-1.4862475561330435</v>
      </c>
      <c r="S20" s="412" t="s">
        <v>427</v>
      </c>
      <c r="T20" s="248">
        <f t="shared" si="25"/>
        <v>-407867</v>
      </c>
      <c r="U20" s="27">
        <f t="shared" si="25"/>
        <v>0</v>
      </c>
      <c r="V20" s="28">
        <f t="shared" si="18"/>
        <v>407867</v>
      </c>
      <c r="W20" s="29">
        <f>IFERROR(V20/ABS(T20), "-")</f>
        <v>1</v>
      </c>
      <c r="X20" s="30"/>
    </row>
    <row r="21" spans="1:24" x14ac:dyDescent="0.2">
      <c r="A21" s="7"/>
      <c r="B21" s="7"/>
      <c r="C21" s="7"/>
      <c r="D21" s="369"/>
      <c r="E21" s="7"/>
      <c r="F21" s="7"/>
      <c r="G21" s="7"/>
      <c r="H21" s="7"/>
      <c r="I21" s="7"/>
      <c r="J21" s="369"/>
      <c r="K21" s="340"/>
      <c r="L21" s="7"/>
      <c r="M21" s="7"/>
      <c r="N21" s="7"/>
      <c r="O21" s="369"/>
      <c r="P21" s="7"/>
      <c r="Q21" s="7"/>
      <c r="R21" s="7"/>
      <c r="S21" s="7"/>
      <c r="T21" s="7"/>
      <c r="U21" s="7"/>
      <c r="V21" s="7"/>
      <c r="W21" s="7"/>
      <c r="X21" s="7"/>
    </row>
    <row r="22" spans="1:24" x14ac:dyDescent="0.2">
      <c r="A22" s="7"/>
      <c r="B22" s="7"/>
      <c r="C22" s="7"/>
      <c r="D22" s="369"/>
      <c r="E22" s="7"/>
      <c r="F22" s="7"/>
      <c r="G22" s="7"/>
      <c r="H22" s="7"/>
      <c r="I22" s="7"/>
      <c r="J22" s="369"/>
      <c r="K22" s="340"/>
      <c r="L22" s="7"/>
      <c r="M22" s="7"/>
      <c r="N22" s="7"/>
      <c r="O22" s="369"/>
      <c r="P22" s="7"/>
      <c r="Q22" s="7"/>
      <c r="R22" s="7"/>
      <c r="S22" s="7"/>
      <c r="T22" s="7"/>
      <c r="U22" s="7"/>
      <c r="V22" s="7"/>
      <c r="W22" s="7"/>
      <c r="X22" s="7"/>
    </row>
    <row r="23" spans="1:24" ht="18.75" x14ac:dyDescent="0.2">
      <c r="A23" s="10"/>
      <c r="B23" s="9"/>
      <c r="C23" s="8"/>
      <c r="D23" s="370"/>
      <c r="E23" s="8"/>
      <c r="F23" s="8"/>
      <c r="G23" s="8"/>
      <c r="H23" s="8"/>
      <c r="I23" s="8"/>
      <c r="J23" s="370"/>
      <c r="K23" s="342"/>
      <c r="L23" s="8"/>
      <c r="M23" s="8"/>
      <c r="N23" s="8"/>
      <c r="O23" s="370"/>
      <c r="P23" s="8"/>
      <c r="Q23" s="8"/>
      <c r="R23" s="8"/>
      <c r="S23" s="8"/>
      <c r="T23" s="8"/>
      <c r="U23" s="8"/>
      <c r="V23" s="8"/>
      <c r="W23" s="8"/>
      <c r="X23" s="8"/>
    </row>
    <row r="24" spans="1:24" ht="18.75" x14ac:dyDescent="0.2">
      <c r="A24" s="10"/>
      <c r="B24" s="9"/>
      <c r="C24" s="8"/>
      <c r="D24" s="370"/>
      <c r="E24" s="8"/>
      <c r="F24" s="8"/>
      <c r="G24" s="8"/>
      <c r="H24" s="8"/>
      <c r="I24" s="8"/>
      <c r="J24" s="370"/>
      <c r="K24" s="342"/>
      <c r="L24" s="8"/>
      <c r="M24" s="8"/>
      <c r="N24" s="8"/>
      <c r="O24" s="370"/>
      <c r="P24" s="8"/>
      <c r="Q24" s="8"/>
      <c r="R24" s="8"/>
      <c r="S24" s="8"/>
      <c r="T24" s="8"/>
      <c r="U24" s="8"/>
      <c r="V24" s="8"/>
      <c r="W24" s="8"/>
      <c r="X24" s="8"/>
    </row>
    <row r="25" spans="1:24" ht="18.75" x14ac:dyDescent="0.2">
      <c r="A25" s="10"/>
      <c r="B25" s="9"/>
      <c r="C25" s="8"/>
      <c r="D25" s="370"/>
      <c r="E25" s="8"/>
      <c r="F25" s="8"/>
      <c r="G25" s="8"/>
      <c r="H25" s="8"/>
      <c r="I25" s="8"/>
      <c r="J25" s="370"/>
      <c r="K25" s="342"/>
      <c r="L25" s="8"/>
      <c r="M25" s="8"/>
      <c r="N25" s="8"/>
      <c r="O25" s="370"/>
      <c r="P25" s="8"/>
      <c r="Q25" s="8"/>
      <c r="R25" s="8"/>
      <c r="S25" s="8"/>
      <c r="T25" s="8"/>
      <c r="U25" s="8"/>
      <c r="V25" s="8"/>
      <c r="W25" s="8"/>
      <c r="X25" s="8"/>
    </row>
    <row r="26" spans="1:24" ht="18.75" x14ac:dyDescent="0.2">
      <c r="A26" s="10"/>
      <c r="B26" s="9"/>
      <c r="C26" s="8"/>
      <c r="D26" s="370"/>
      <c r="E26" s="8"/>
      <c r="F26" s="8"/>
      <c r="G26" s="8"/>
      <c r="H26" s="8"/>
      <c r="I26" s="8"/>
      <c r="J26" s="370"/>
      <c r="K26" s="342"/>
      <c r="L26" s="8"/>
      <c r="M26" s="8"/>
      <c r="N26" s="8"/>
      <c r="O26" s="370"/>
      <c r="P26" s="8"/>
      <c r="Q26" s="8"/>
      <c r="R26" s="8"/>
      <c r="S26" s="8"/>
      <c r="T26" s="8"/>
      <c r="U26" s="8"/>
      <c r="V26" s="8"/>
      <c r="W26" s="8"/>
      <c r="X26" s="8"/>
    </row>
    <row r="27" spans="1:24" ht="18.75" x14ac:dyDescent="0.2">
      <c r="A27" s="10"/>
      <c r="B27" s="9"/>
      <c r="C27" s="8"/>
      <c r="D27" s="370"/>
      <c r="E27" s="8"/>
      <c r="F27" s="8"/>
      <c r="G27" s="8"/>
      <c r="H27" s="8"/>
      <c r="I27" s="8"/>
      <c r="J27" s="370"/>
      <c r="K27" s="342"/>
      <c r="L27" s="8"/>
      <c r="M27" s="8"/>
      <c r="N27" s="8"/>
      <c r="O27" s="370"/>
      <c r="P27" s="8"/>
      <c r="Q27" s="8"/>
      <c r="R27" s="8"/>
      <c r="S27" s="8"/>
      <c r="T27" s="8"/>
      <c r="U27" s="8"/>
      <c r="V27" s="8"/>
      <c r="W27" s="8"/>
      <c r="X27" s="8"/>
    </row>
    <row r="28" spans="1:24" ht="18.75" x14ac:dyDescent="0.2">
      <c r="A28" s="10"/>
      <c r="B28" s="9"/>
      <c r="C28" s="8"/>
      <c r="D28" s="370"/>
      <c r="E28" s="8"/>
      <c r="F28" s="8"/>
      <c r="G28" s="8"/>
      <c r="H28" s="8"/>
      <c r="I28" s="8"/>
      <c r="J28" s="370"/>
      <c r="K28" s="342"/>
      <c r="L28" s="8"/>
      <c r="M28" s="8"/>
      <c r="N28" s="8"/>
      <c r="O28" s="370"/>
      <c r="P28" s="8"/>
      <c r="Q28" s="8"/>
      <c r="R28" s="8"/>
      <c r="S28" s="8"/>
      <c r="T28" s="8"/>
      <c r="U28" s="8"/>
      <c r="V28" s="8"/>
      <c r="W28" s="8"/>
      <c r="X28" s="8"/>
    </row>
  </sheetData>
  <sheetProtection formatColumns="0" formatRows="0"/>
  <pageMargins left="0.23622047244094491" right="0.23622047244094491" top="0.74803149606299213" bottom="0.74803149606299213" header="0.31496062992125984" footer="0.31496062992125984"/>
  <pageSetup paperSize="9" fitToHeight="0" orientation="landscape" horizontalDpi="4294967293" verticalDpi="90" r:id="rId1"/>
  <headerFooter>
    <oddHeader>&amp;C&amp;"Times New Roman,Bold"&amp;14Peļņas vai zaudējumu aprēķins&amp;R&amp;"Times New Roman,Regular"&amp;14 2.pielikums</oddHeader>
    <oddFooter>&amp;C&amp;"Times New Roman,Regular"&amp;12&amp;F&amp;R&amp;"Times New Roman,Regular"&amp;12&amp;P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84"/>
  <sheetViews>
    <sheetView view="pageBreakPreview" zoomScale="70" zoomScaleNormal="85" zoomScaleSheetLayoutView="70" workbookViewId="0">
      <pane ySplit="1" topLeftCell="A5" activePane="bottomLeft" state="frozen"/>
      <selection pane="bottomLeft" activeCell="B91" sqref="B91"/>
    </sheetView>
  </sheetViews>
  <sheetFormatPr defaultColWidth="9.140625" defaultRowHeight="15.75" outlineLevelCol="1" x14ac:dyDescent="0.2"/>
  <cols>
    <col min="1" max="1" width="8.42578125" style="34" bestFit="1" customWidth="1"/>
    <col min="2" max="2" width="45.28515625" style="34" customWidth="1"/>
    <col min="3" max="3" width="17.7109375" style="43" customWidth="1"/>
    <col min="4" max="4" width="17.140625" style="379" customWidth="1"/>
    <col min="5" max="5" width="17.7109375" style="43" hidden="1" customWidth="1"/>
    <col min="6" max="6" width="17.7109375" style="43" hidden="1" customWidth="1" outlineLevel="1"/>
    <col min="7" max="8" width="17.7109375" style="49" hidden="1" customWidth="1" outlineLevel="1"/>
    <col min="9" max="9" width="43.28515625" style="43" hidden="1" customWidth="1" outlineLevel="1"/>
    <col min="10" max="10" width="0.140625" style="379" hidden="1" customWidth="1" collapsed="1"/>
    <col min="11" max="11" width="17.7109375" style="43" hidden="1" customWidth="1" outlineLevel="1"/>
    <col min="12" max="13" width="17.7109375" style="49" hidden="1" customWidth="1" outlineLevel="1"/>
    <col min="14" max="14" width="43.28515625" style="43" hidden="1" customWidth="1" outlineLevel="1"/>
    <col min="15" max="15" width="17.7109375" style="379" hidden="1" customWidth="1" collapsed="1"/>
    <col min="16" max="16" width="17.7109375" style="43" customWidth="1" outlineLevel="1"/>
    <col min="17" max="18" width="17.7109375" style="49" hidden="1" customWidth="1" outlineLevel="1"/>
    <col min="19" max="19" width="43.28515625" style="43" hidden="1" customWidth="1" outlineLevel="1"/>
    <col min="20" max="20" width="19.5703125" style="43" hidden="1" customWidth="1"/>
    <col min="21" max="21" width="17.7109375" style="43" hidden="1" customWidth="1" outlineLevel="1"/>
    <col min="22" max="23" width="17.7109375" style="49" hidden="1" customWidth="1" outlineLevel="1"/>
    <col min="24" max="24" width="43.28515625" style="43" hidden="1" customWidth="1" outlineLevel="1"/>
    <col min="25" max="25" width="9.140625" style="43" collapsed="1"/>
    <col min="26" max="16384" width="9.140625" style="43"/>
  </cols>
  <sheetData>
    <row r="1" spans="1:24" s="34" customFormat="1" ht="113.25" customHeight="1" x14ac:dyDescent="0.2">
      <c r="A1" s="15" t="s">
        <v>0</v>
      </c>
      <c r="B1" s="33" t="s">
        <v>325</v>
      </c>
      <c r="C1" s="16" t="s">
        <v>368</v>
      </c>
      <c r="D1" s="343" t="s">
        <v>369</v>
      </c>
      <c r="E1" s="16" t="s">
        <v>370</v>
      </c>
      <c r="F1" s="16" t="s">
        <v>374</v>
      </c>
      <c r="G1" s="17" t="s">
        <v>266</v>
      </c>
      <c r="H1" s="18" t="s">
        <v>267</v>
      </c>
      <c r="I1" s="16" t="s">
        <v>323</v>
      </c>
      <c r="J1" s="343" t="s">
        <v>371</v>
      </c>
      <c r="K1" s="16" t="s">
        <v>391</v>
      </c>
      <c r="L1" s="17" t="s">
        <v>392</v>
      </c>
      <c r="M1" s="18" t="s">
        <v>393</v>
      </c>
      <c r="N1" s="16" t="s">
        <v>323</v>
      </c>
      <c r="O1" s="343" t="s">
        <v>372</v>
      </c>
      <c r="P1" s="16" t="s">
        <v>408</v>
      </c>
      <c r="Q1" s="17" t="s">
        <v>266</v>
      </c>
      <c r="R1" s="18" t="s">
        <v>267</v>
      </c>
      <c r="S1" s="16" t="s">
        <v>323</v>
      </c>
      <c r="T1" s="16" t="s">
        <v>373</v>
      </c>
      <c r="U1" s="16" t="s">
        <v>288</v>
      </c>
      <c r="V1" s="17" t="s">
        <v>266</v>
      </c>
      <c r="W1" s="18" t="s">
        <v>267</v>
      </c>
      <c r="X1" s="16" t="s">
        <v>323</v>
      </c>
    </row>
    <row r="2" spans="1:24" s="34" customFormat="1" ht="12" customHeight="1" x14ac:dyDescent="0.2">
      <c r="A2" s="35">
        <v>1</v>
      </c>
      <c r="B2" s="16">
        <v>2</v>
      </c>
      <c r="C2" s="16">
        <v>3</v>
      </c>
      <c r="D2" s="343">
        <v>4</v>
      </c>
      <c r="E2" s="16">
        <v>5</v>
      </c>
      <c r="F2" s="16">
        <v>6</v>
      </c>
      <c r="G2" s="17">
        <v>7</v>
      </c>
      <c r="H2" s="19">
        <v>8</v>
      </c>
      <c r="I2" s="16">
        <v>9</v>
      </c>
      <c r="J2" s="343">
        <v>10</v>
      </c>
      <c r="K2" s="16">
        <v>11</v>
      </c>
      <c r="L2" s="17">
        <v>12</v>
      </c>
      <c r="M2" s="19">
        <v>13</v>
      </c>
      <c r="N2" s="16">
        <v>14</v>
      </c>
      <c r="O2" s="343">
        <v>15</v>
      </c>
      <c r="P2" s="16">
        <v>16</v>
      </c>
      <c r="Q2" s="17">
        <v>17</v>
      </c>
      <c r="R2" s="19">
        <v>18</v>
      </c>
      <c r="S2" s="16">
        <v>19</v>
      </c>
      <c r="T2" s="16">
        <v>20</v>
      </c>
      <c r="U2" s="16">
        <v>21</v>
      </c>
      <c r="V2" s="17">
        <v>22</v>
      </c>
      <c r="W2" s="19">
        <v>23</v>
      </c>
      <c r="X2" s="16">
        <v>24</v>
      </c>
    </row>
    <row r="3" spans="1:24" s="34" customFormat="1" x14ac:dyDescent="0.2">
      <c r="A3" s="270">
        <v>1000</v>
      </c>
      <c r="B3" s="236" t="s">
        <v>223</v>
      </c>
      <c r="C3" s="252">
        <f>C4+C11</f>
        <v>13217727</v>
      </c>
      <c r="D3" s="372">
        <f>D4+D11</f>
        <v>13626422</v>
      </c>
      <c r="E3" s="252">
        <f t="shared" ref="E3:F3" si="0">E4+E11</f>
        <v>13387266</v>
      </c>
      <c r="F3" s="252">
        <f t="shared" si="0"/>
        <v>13156321</v>
      </c>
      <c r="G3" s="253">
        <f t="shared" ref="G3:G20" si="1">F3-E3</f>
        <v>-230945</v>
      </c>
      <c r="H3" s="254">
        <f t="shared" ref="H3:H20" si="2">IFERROR(G3/ABS(E3), "-")</f>
        <v>-1.7251095182541379E-2</v>
      </c>
      <c r="I3" s="255"/>
      <c r="J3" s="372">
        <f>J4+J11+J21</f>
        <v>13588164</v>
      </c>
      <c r="K3" s="252">
        <f>K4+K11+K21</f>
        <v>13245924</v>
      </c>
      <c r="L3" s="253">
        <f t="shared" ref="L3:L19" si="3">K3-J3</f>
        <v>-342240</v>
      </c>
      <c r="M3" s="254">
        <f t="shared" ref="M3:M20" si="4">IFERROR(L3/ABS(J3), "-")</f>
        <v>-2.5186625654503435E-2</v>
      </c>
      <c r="N3" s="255"/>
      <c r="O3" s="372">
        <f>O4+O11+O21</f>
        <v>13704608</v>
      </c>
      <c r="P3" s="252">
        <f>P4+P11+P21</f>
        <v>13320700</v>
      </c>
      <c r="Q3" s="253">
        <f t="shared" ref="Q3:Q20" si="5">P3-O3</f>
        <v>-383908</v>
      </c>
      <c r="R3" s="254">
        <f t="shared" ref="R3:R20" si="6">IFERROR(Q3/ABS(O3), "-")</f>
        <v>-2.8013059549021758E-2</v>
      </c>
      <c r="S3" s="255"/>
      <c r="T3" s="252">
        <f>T4+T11+T21</f>
        <v>13626422</v>
      </c>
      <c r="U3" s="252">
        <f>U4+U11+U21</f>
        <v>0</v>
      </c>
      <c r="V3" s="253">
        <f t="shared" ref="V3:V20" si="7">U3-T3</f>
        <v>-13626422</v>
      </c>
      <c r="W3" s="254">
        <f t="shared" ref="W3:W20" si="8">IFERROR(V3/ABS(T3), "-")</f>
        <v>-1</v>
      </c>
      <c r="X3" s="255"/>
    </row>
    <row r="4" spans="1:24" s="34" customFormat="1" x14ac:dyDescent="0.2">
      <c r="A4" s="186">
        <v>1100</v>
      </c>
      <c r="B4" s="51" t="s">
        <v>224</v>
      </c>
      <c r="C4" s="37">
        <f>C5+C6+C7+C8+C9+C10</f>
        <v>5961</v>
      </c>
      <c r="D4" s="373">
        <f>D5+D6+D7+D8+D9+D10</f>
        <v>3088</v>
      </c>
      <c r="E4" s="37">
        <f>E5+E6+E7+E8+E9+E10</f>
        <v>5577</v>
      </c>
      <c r="F4" s="37">
        <f>F5+F6+F7+F8+F9+F10</f>
        <v>5474</v>
      </c>
      <c r="G4" s="38">
        <f t="shared" si="1"/>
        <v>-103</v>
      </c>
      <c r="H4" s="29">
        <f t="shared" si="2"/>
        <v>-1.8468710776403083E-2</v>
      </c>
      <c r="I4" s="451"/>
      <c r="J4" s="373">
        <f>J5+J6+J7+J8+J9+J10</f>
        <v>4647</v>
      </c>
      <c r="K4" s="37">
        <f>K5+K6+K7+K8+K9+K10</f>
        <v>4534</v>
      </c>
      <c r="L4" s="38">
        <f t="shared" si="3"/>
        <v>-113</v>
      </c>
      <c r="M4" s="29">
        <f t="shared" si="4"/>
        <v>-2.4316763503335486E-2</v>
      </c>
      <c r="N4" s="451"/>
      <c r="O4" s="373">
        <f>O5+O6+O7+O8+O9+O10</f>
        <v>3830</v>
      </c>
      <c r="P4" s="37">
        <f>P5+P6+P7+P8+P9+P10</f>
        <v>3707</v>
      </c>
      <c r="Q4" s="38">
        <f>P4-O4</f>
        <v>-123</v>
      </c>
      <c r="R4" s="29">
        <f t="shared" si="6"/>
        <v>-3.2114882506527415E-2</v>
      </c>
      <c r="S4" s="451"/>
      <c r="T4" s="37">
        <f>T5+T6+T7+T8+T9+T10</f>
        <v>3088</v>
      </c>
      <c r="U4" s="37">
        <f>U5+U6+U7+U8+U9</f>
        <v>0</v>
      </c>
      <c r="V4" s="38">
        <f t="shared" si="7"/>
        <v>-3088</v>
      </c>
      <c r="W4" s="29">
        <f t="shared" si="8"/>
        <v>-1</v>
      </c>
      <c r="X4" s="451"/>
    </row>
    <row r="5" spans="1:24" x14ac:dyDescent="0.2">
      <c r="A5" s="222">
        <v>1110</v>
      </c>
      <c r="B5" s="40" t="s">
        <v>278</v>
      </c>
      <c r="C5" s="45"/>
      <c r="D5" s="374"/>
      <c r="E5" s="45"/>
      <c r="F5" s="45"/>
      <c r="G5" s="46">
        <f t="shared" si="1"/>
        <v>0</v>
      </c>
      <c r="H5" s="47" t="str">
        <f t="shared" si="2"/>
        <v>-</v>
      </c>
      <c r="I5" s="452"/>
      <c r="J5" s="374"/>
      <c r="K5" s="45"/>
      <c r="L5" s="46">
        <f t="shared" si="3"/>
        <v>0</v>
      </c>
      <c r="M5" s="47" t="str">
        <f t="shared" si="4"/>
        <v>-</v>
      </c>
      <c r="N5" s="452"/>
      <c r="O5" s="374"/>
      <c r="P5" s="45"/>
      <c r="Q5" s="46">
        <f t="shared" si="5"/>
        <v>0</v>
      </c>
      <c r="R5" s="47" t="str">
        <f t="shared" si="6"/>
        <v>-</v>
      </c>
      <c r="S5" s="452"/>
      <c r="T5" s="45"/>
      <c r="U5" s="45"/>
      <c r="V5" s="46">
        <f t="shared" si="7"/>
        <v>0</v>
      </c>
      <c r="W5" s="47" t="str">
        <f t="shared" si="8"/>
        <v>-</v>
      </c>
      <c r="X5" s="452"/>
    </row>
    <row r="6" spans="1:24" ht="31.5" x14ac:dyDescent="0.2">
      <c r="A6" s="222">
        <v>1120</v>
      </c>
      <c r="B6" s="40" t="s">
        <v>279</v>
      </c>
      <c r="C6" s="45">
        <v>42041</v>
      </c>
      <c r="D6" s="374">
        <v>42622</v>
      </c>
      <c r="E6" s="45">
        <v>42622</v>
      </c>
      <c r="F6" s="45">
        <v>42521</v>
      </c>
      <c r="G6" s="46">
        <f t="shared" si="1"/>
        <v>-101</v>
      </c>
      <c r="H6" s="47">
        <f t="shared" si="2"/>
        <v>-2.3696682464454978E-3</v>
      </c>
      <c r="I6" s="452"/>
      <c r="J6" s="374">
        <v>42622</v>
      </c>
      <c r="K6" s="45">
        <v>42521</v>
      </c>
      <c r="L6" s="46">
        <f t="shared" si="3"/>
        <v>-101</v>
      </c>
      <c r="M6" s="47">
        <f t="shared" si="4"/>
        <v>-2.3696682464454978E-3</v>
      </c>
      <c r="N6" s="452"/>
      <c r="O6" s="374">
        <v>42622</v>
      </c>
      <c r="P6" s="45">
        <v>42521</v>
      </c>
      <c r="Q6" s="46">
        <f t="shared" si="5"/>
        <v>-101</v>
      </c>
      <c r="R6" s="47">
        <f t="shared" si="6"/>
        <v>-2.3696682464454978E-3</v>
      </c>
      <c r="S6" s="452"/>
      <c r="T6" s="45">
        <f>D6</f>
        <v>42622</v>
      </c>
      <c r="U6" s="45"/>
      <c r="V6" s="46">
        <f t="shared" si="7"/>
        <v>-42622</v>
      </c>
      <c r="W6" s="47">
        <f t="shared" si="8"/>
        <v>-1</v>
      </c>
      <c r="X6" s="452"/>
    </row>
    <row r="7" spans="1:24" x14ac:dyDescent="0.2">
      <c r="A7" s="222">
        <v>1130</v>
      </c>
      <c r="B7" s="40" t="s">
        <v>280</v>
      </c>
      <c r="C7" s="45"/>
      <c r="D7" s="374"/>
      <c r="E7" s="45"/>
      <c r="F7" s="45"/>
      <c r="G7" s="46">
        <f t="shared" si="1"/>
        <v>0</v>
      </c>
      <c r="H7" s="47" t="str">
        <f t="shared" si="2"/>
        <v>-</v>
      </c>
      <c r="I7" s="452"/>
      <c r="J7" s="374"/>
      <c r="K7" s="45"/>
      <c r="L7" s="46">
        <f t="shared" si="3"/>
        <v>0</v>
      </c>
      <c r="M7" s="47" t="str">
        <f t="shared" si="4"/>
        <v>-</v>
      </c>
      <c r="N7" s="452"/>
      <c r="O7" s="374"/>
      <c r="P7" s="45"/>
      <c r="Q7" s="46">
        <f t="shared" si="5"/>
        <v>0</v>
      </c>
      <c r="R7" s="47" t="str">
        <f t="shared" si="6"/>
        <v>-</v>
      </c>
      <c r="S7" s="452"/>
      <c r="T7" s="45"/>
      <c r="U7" s="45"/>
      <c r="V7" s="46">
        <f t="shared" si="7"/>
        <v>0</v>
      </c>
      <c r="W7" s="47" t="str">
        <f t="shared" si="8"/>
        <v>-</v>
      </c>
      <c r="X7" s="452"/>
    </row>
    <row r="8" spans="1:24" x14ac:dyDescent="0.2">
      <c r="A8" s="222">
        <v>1140</v>
      </c>
      <c r="B8" s="40" t="s">
        <v>281</v>
      </c>
      <c r="C8" s="45"/>
      <c r="D8" s="374"/>
      <c r="E8" s="45"/>
      <c r="F8" s="45"/>
      <c r="G8" s="46">
        <f t="shared" si="1"/>
        <v>0</v>
      </c>
      <c r="H8" s="47" t="str">
        <f t="shared" si="2"/>
        <v>-</v>
      </c>
      <c r="I8" s="452"/>
      <c r="J8" s="374"/>
      <c r="K8" s="45"/>
      <c r="L8" s="46">
        <f t="shared" si="3"/>
        <v>0</v>
      </c>
      <c r="M8" s="47" t="str">
        <f t="shared" si="4"/>
        <v>-</v>
      </c>
      <c r="N8" s="452"/>
      <c r="O8" s="374"/>
      <c r="P8" s="45"/>
      <c r="Q8" s="46">
        <f t="shared" si="5"/>
        <v>0</v>
      </c>
      <c r="R8" s="47" t="str">
        <f t="shared" si="6"/>
        <v>-</v>
      </c>
      <c r="S8" s="452"/>
      <c r="T8" s="45"/>
      <c r="U8" s="45"/>
      <c r="V8" s="46">
        <f t="shared" si="7"/>
        <v>0</v>
      </c>
      <c r="W8" s="47" t="str">
        <f t="shared" si="8"/>
        <v>-</v>
      </c>
      <c r="X8" s="452"/>
    </row>
    <row r="9" spans="1:24" ht="31.5" x14ac:dyDescent="0.2">
      <c r="A9" s="222">
        <v>1180</v>
      </c>
      <c r="B9" s="40" t="s">
        <v>282</v>
      </c>
      <c r="C9" s="45"/>
      <c r="D9" s="374"/>
      <c r="E9" s="45"/>
      <c r="F9" s="45"/>
      <c r="G9" s="46">
        <f>F9-E9</f>
        <v>0</v>
      </c>
      <c r="H9" s="47" t="str">
        <f t="shared" si="2"/>
        <v>-</v>
      </c>
      <c r="I9" s="452"/>
      <c r="J9" s="374"/>
      <c r="K9" s="45"/>
      <c r="L9" s="46">
        <f t="shared" si="3"/>
        <v>0</v>
      </c>
      <c r="M9" s="47" t="str">
        <f t="shared" si="4"/>
        <v>-</v>
      </c>
      <c r="N9" s="452"/>
      <c r="O9" s="374"/>
      <c r="P9" s="45"/>
      <c r="Q9" s="46">
        <f t="shared" si="5"/>
        <v>0</v>
      </c>
      <c r="R9" s="47" t="str">
        <f t="shared" si="6"/>
        <v>-</v>
      </c>
      <c r="S9" s="452"/>
      <c r="T9" s="45"/>
      <c r="U9" s="45"/>
      <c r="V9" s="46">
        <f>U9-T9</f>
        <v>0</v>
      </c>
      <c r="W9" s="47" t="str">
        <f>IFERROR(V9/ABS(T9), "-")</f>
        <v>-</v>
      </c>
      <c r="X9" s="452"/>
    </row>
    <row r="10" spans="1:24" ht="31.5" x14ac:dyDescent="0.2">
      <c r="A10" s="222">
        <v>1190</v>
      </c>
      <c r="B10" s="40" t="s">
        <v>335</v>
      </c>
      <c r="C10" s="45">
        <v>-36080</v>
      </c>
      <c r="D10" s="374">
        <v>-39534</v>
      </c>
      <c r="E10" s="45">
        <v>-37045</v>
      </c>
      <c r="F10" s="45">
        <v>-37047</v>
      </c>
      <c r="G10" s="46">
        <f>F10-E10</f>
        <v>-2</v>
      </c>
      <c r="H10" s="47">
        <f t="shared" ref="H10" si="9">IFERROR(G10/ABS(E10), "-")</f>
        <v>-5.3988392495613442E-5</v>
      </c>
      <c r="I10" s="453"/>
      <c r="J10" s="374">
        <v>-37975</v>
      </c>
      <c r="K10" s="45">
        <v>-37987</v>
      </c>
      <c r="L10" s="46">
        <f t="shared" si="3"/>
        <v>-12</v>
      </c>
      <c r="M10" s="47">
        <f t="shared" si="4"/>
        <v>-3.1599736668861094E-4</v>
      </c>
      <c r="N10" s="453"/>
      <c r="O10" s="374">
        <v>-38792</v>
      </c>
      <c r="P10" s="45">
        <v>-38814</v>
      </c>
      <c r="Q10" s="46">
        <f t="shared" si="5"/>
        <v>-22</v>
      </c>
      <c r="R10" s="47">
        <f t="shared" si="6"/>
        <v>-5.6712724273045992E-4</v>
      </c>
      <c r="S10" s="453"/>
      <c r="T10" s="45">
        <f>D10</f>
        <v>-39534</v>
      </c>
      <c r="U10" s="45"/>
      <c r="V10" s="46">
        <f>U10-T10</f>
        <v>39534</v>
      </c>
      <c r="W10" s="47">
        <f>IFERROR(V10/ABS(T10), "-")</f>
        <v>1</v>
      </c>
      <c r="X10" s="453"/>
    </row>
    <row r="11" spans="1:24" s="34" customFormat="1" x14ac:dyDescent="0.2">
      <c r="A11" s="186">
        <v>1200</v>
      </c>
      <c r="B11" s="51" t="s">
        <v>225</v>
      </c>
      <c r="C11" s="37">
        <f>C12+C13+C14+C15+C16+C17+C18+C19+C20</f>
        <v>13211766</v>
      </c>
      <c r="D11" s="373">
        <f>D12+D13+D14+D15+D16+D17+D18+D19+D20</f>
        <v>13623334</v>
      </c>
      <c r="E11" s="37">
        <f>E12+E13+E14+E15+E16+E17+E18+E19+E20</f>
        <v>13381689</v>
      </c>
      <c r="F11" s="37">
        <f t="shared" ref="F11" si="10">F12+F13+F14+F15+F16+F17+F18+F19+F20</f>
        <v>13150847</v>
      </c>
      <c r="G11" s="259">
        <f t="shared" si="1"/>
        <v>-230842</v>
      </c>
      <c r="H11" s="29">
        <f t="shared" si="2"/>
        <v>-1.7250587724763296E-2</v>
      </c>
      <c r="I11" s="460" t="s">
        <v>386</v>
      </c>
      <c r="J11" s="373">
        <f>J12+J13+J14+J15+J16+J17+J18+J19+J20</f>
        <v>13583517</v>
      </c>
      <c r="K11" s="37">
        <f t="shared" ref="K11" si="11">K12+K13+K14+K15+K16+K17+K18+K19+K20</f>
        <v>13241390</v>
      </c>
      <c r="L11" s="259">
        <f t="shared" si="3"/>
        <v>-342127</v>
      </c>
      <c r="M11" s="29">
        <f t="shared" si="4"/>
        <v>-2.5186923239393744E-2</v>
      </c>
      <c r="N11" s="451"/>
      <c r="O11" s="373">
        <f t="shared" ref="O11" si="12">O12+O13+O14+O15+O16+O17+O18+O19+O20</f>
        <v>13700778</v>
      </c>
      <c r="P11" s="37">
        <f t="shared" ref="P11" si="13">P12+P13+P14+P15+P16+P17+P18+P19+P20</f>
        <v>13316993</v>
      </c>
      <c r="Q11" s="259">
        <f t="shared" si="5"/>
        <v>-383785</v>
      </c>
      <c r="R11" s="29">
        <f t="shared" si="6"/>
        <v>-2.8011912900128739E-2</v>
      </c>
      <c r="S11" s="451"/>
      <c r="T11" s="37">
        <f>T12+T13+T14+T15+T16+T17+T18+T19+T20</f>
        <v>13623334</v>
      </c>
      <c r="U11" s="37">
        <f t="shared" ref="U11" si="14">U12+U13+U14+U15+U16+U17+U18+U19+U20</f>
        <v>0</v>
      </c>
      <c r="V11" s="38">
        <f t="shared" si="7"/>
        <v>-13623334</v>
      </c>
      <c r="W11" s="29">
        <f t="shared" si="8"/>
        <v>-1</v>
      </c>
      <c r="X11" s="451"/>
    </row>
    <row r="12" spans="1:24" x14ac:dyDescent="0.2">
      <c r="A12" s="222">
        <v>1210</v>
      </c>
      <c r="B12" s="40" t="s">
        <v>337</v>
      </c>
      <c r="C12" s="45">
        <v>14918975</v>
      </c>
      <c r="D12" s="374">
        <v>15561019</v>
      </c>
      <c r="E12" s="45">
        <v>14918975</v>
      </c>
      <c r="F12" s="45">
        <v>14918975</v>
      </c>
      <c r="G12" s="46">
        <f t="shared" si="1"/>
        <v>0</v>
      </c>
      <c r="H12" s="47">
        <f t="shared" si="2"/>
        <v>0</v>
      </c>
      <c r="I12" s="461"/>
      <c r="J12" s="374">
        <v>15369019</v>
      </c>
      <c r="K12" s="45">
        <v>14918976</v>
      </c>
      <c r="L12" s="46">
        <f t="shared" si="3"/>
        <v>-450043</v>
      </c>
      <c r="M12" s="47">
        <f t="shared" si="4"/>
        <v>-2.9282480553898722E-2</v>
      </c>
      <c r="N12" s="452"/>
      <c r="O12" s="374">
        <v>15561019</v>
      </c>
      <c r="P12" s="45">
        <v>14897698</v>
      </c>
      <c r="Q12" s="46">
        <f t="shared" si="5"/>
        <v>-663321</v>
      </c>
      <c r="R12" s="47">
        <f t="shared" si="6"/>
        <v>-4.2627092737307241E-2</v>
      </c>
      <c r="S12" s="452"/>
      <c r="T12" s="45">
        <f>D12</f>
        <v>15561019</v>
      </c>
      <c r="U12" s="45"/>
      <c r="V12" s="46">
        <f t="shared" si="7"/>
        <v>-15561019</v>
      </c>
      <c r="W12" s="47">
        <f t="shared" si="8"/>
        <v>-1</v>
      </c>
      <c r="X12" s="452"/>
    </row>
    <row r="13" spans="1:24" x14ac:dyDescent="0.2">
      <c r="A13" s="222">
        <v>1220</v>
      </c>
      <c r="B13" s="40" t="s">
        <v>336</v>
      </c>
      <c r="C13" s="45">
        <v>404235</v>
      </c>
      <c r="D13" s="374">
        <v>404235</v>
      </c>
      <c r="E13" s="45">
        <v>404235</v>
      </c>
      <c r="F13" s="45">
        <v>404235</v>
      </c>
      <c r="G13" s="46">
        <f t="shared" si="1"/>
        <v>0</v>
      </c>
      <c r="H13" s="47">
        <f t="shared" si="2"/>
        <v>0</v>
      </c>
      <c r="I13" s="461"/>
      <c r="J13" s="374">
        <v>404235</v>
      </c>
      <c r="K13" s="45">
        <v>404234</v>
      </c>
      <c r="L13" s="46">
        <f t="shared" si="3"/>
        <v>-1</v>
      </c>
      <c r="M13" s="47">
        <f t="shared" si="4"/>
        <v>-2.473808551956164E-6</v>
      </c>
      <c r="N13" s="452"/>
      <c r="O13" s="374">
        <v>404235</v>
      </c>
      <c r="P13" s="45">
        <v>404234</v>
      </c>
      <c r="Q13" s="46">
        <f t="shared" si="5"/>
        <v>-1</v>
      </c>
      <c r="R13" s="47">
        <f t="shared" si="6"/>
        <v>-2.473808551956164E-6</v>
      </c>
      <c r="S13" s="452"/>
      <c r="T13" s="45">
        <f t="shared" ref="T13:T15" si="15">D13</f>
        <v>404235</v>
      </c>
      <c r="U13" s="45"/>
      <c r="V13" s="46">
        <f t="shared" si="7"/>
        <v>-404235</v>
      </c>
      <c r="W13" s="47">
        <f t="shared" si="8"/>
        <v>-1</v>
      </c>
      <c r="X13" s="452"/>
    </row>
    <row r="14" spans="1:24" x14ac:dyDescent="0.2">
      <c r="A14" s="222">
        <v>1230</v>
      </c>
      <c r="B14" s="40" t="s">
        <v>338</v>
      </c>
      <c r="C14" s="45">
        <v>1019539</v>
      </c>
      <c r="D14" s="374">
        <v>1097045</v>
      </c>
      <c r="E14" s="45">
        <v>1031525</v>
      </c>
      <c r="F14" s="45">
        <v>1027181</v>
      </c>
      <c r="G14" s="46">
        <f t="shared" si="1"/>
        <v>-4344</v>
      </c>
      <c r="H14" s="47">
        <f t="shared" si="2"/>
        <v>-4.2112406388599404E-3</v>
      </c>
      <c r="I14" s="461"/>
      <c r="J14" s="374">
        <v>1083045</v>
      </c>
      <c r="K14" s="45">
        <v>1054641</v>
      </c>
      <c r="L14" s="46">
        <f t="shared" si="3"/>
        <v>-28404</v>
      </c>
      <c r="M14" s="47">
        <f t="shared" si="4"/>
        <v>-2.6226057089040623E-2</v>
      </c>
      <c r="N14" s="452"/>
      <c r="O14" s="374">
        <v>1096045</v>
      </c>
      <c r="P14" s="45">
        <v>1055326</v>
      </c>
      <c r="Q14" s="46">
        <f t="shared" si="5"/>
        <v>-40719</v>
      </c>
      <c r="R14" s="47">
        <f t="shared" si="6"/>
        <v>-3.7150846908657949E-2</v>
      </c>
      <c r="S14" s="452"/>
      <c r="T14" s="45">
        <f t="shared" si="15"/>
        <v>1097045</v>
      </c>
      <c r="U14" s="45"/>
      <c r="V14" s="46">
        <f t="shared" si="7"/>
        <v>-1097045</v>
      </c>
      <c r="W14" s="47">
        <f t="shared" si="8"/>
        <v>-1</v>
      </c>
      <c r="X14" s="452"/>
    </row>
    <row r="15" spans="1:24" ht="15.6" customHeight="1" x14ac:dyDescent="0.2">
      <c r="A15" s="222">
        <v>1240</v>
      </c>
      <c r="B15" s="40" t="s">
        <v>339</v>
      </c>
      <c r="C15" s="45">
        <v>123265</v>
      </c>
      <c r="D15" s="374">
        <v>110841</v>
      </c>
      <c r="E15" s="45">
        <v>352884</v>
      </c>
      <c r="F15" s="45">
        <v>125189</v>
      </c>
      <c r="G15" s="46">
        <f t="shared" si="1"/>
        <v>-227695</v>
      </c>
      <c r="H15" s="47">
        <f t="shared" si="2"/>
        <v>-0.64524036227202142</v>
      </c>
      <c r="I15" s="461"/>
      <c r="J15" s="374">
        <v>122841</v>
      </c>
      <c r="K15" s="45">
        <v>154900</v>
      </c>
      <c r="L15" s="46">
        <f t="shared" si="3"/>
        <v>32059</v>
      </c>
      <c r="M15" s="47">
        <f t="shared" si="4"/>
        <v>0.26097964034809223</v>
      </c>
      <c r="N15" s="452"/>
      <c r="O15" s="374">
        <v>110841</v>
      </c>
      <c r="P15" s="45">
        <v>417766</v>
      </c>
      <c r="Q15" s="46">
        <f t="shared" si="5"/>
        <v>306925</v>
      </c>
      <c r="R15" s="47">
        <f t="shared" si="6"/>
        <v>2.769056576537563</v>
      </c>
      <c r="S15" s="452"/>
      <c r="T15" s="45">
        <f t="shared" si="15"/>
        <v>110841</v>
      </c>
      <c r="U15" s="45"/>
      <c r="V15" s="46">
        <f t="shared" si="7"/>
        <v>-110841</v>
      </c>
      <c r="W15" s="47">
        <f t="shared" si="8"/>
        <v>-1</v>
      </c>
      <c r="X15" s="452"/>
    </row>
    <row r="16" spans="1:24" x14ac:dyDescent="0.2">
      <c r="A16" s="222">
        <v>1250</v>
      </c>
      <c r="B16" s="40" t="s">
        <v>340</v>
      </c>
      <c r="C16" s="45"/>
      <c r="D16" s="374"/>
      <c r="E16" s="45"/>
      <c r="F16" s="45"/>
      <c r="G16" s="46">
        <f t="shared" si="1"/>
        <v>0</v>
      </c>
      <c r="H16" s="47" t="str">
        <f t="shared" si="2"/>
        <v>-</v>
      </c>
      <c r="I16" s="461"/>
      <c r="J16" s="374"/>
      <c r="K16" s="45"/>
      <c r="L16" s="46">
        <f t="shared" si="3"/>
        <v>0</v>
      </c>
      <c r="M16" s="47" t="str">
        <f t="shared" si="4"/>
        <v>-</v>
      </c>
      <c r="N16" s="452"/>
      <c r="O16" s="374"/>
      <c r="P16" s="45"/>
      <c r="Q16" s="46">
        <f t="shared" si="5"/>
        <v>0</v>
      </c>
      <c r="R16" s="47" t="str">
        <f t="shared" si="6"/>
        <v>-</v>
      </c>
      <c r="S16" s="452"/>
      <c r="T16" s="45"/>
      <c r="U16" s="45"/>
      <c r="V16" s="46">
        <f t="shared" si="7"/>
        <v>0</v>
      </c>
      <c r="W16" s="47" t="str">
        <f t="shared" si="8"/>
        <v>-</v>
      </c>
      <c r="X16" s="452"/>
    </row>
    <row r="17" spans="1:24" x14ac:dyDescent="0.2">
      <c r="A17" s="222">
        <v>1260</v>
      </c>
      <c r="B17" s="40" t="s">
        <v>341</v>
      </c>
      <c r="C17" s="45"/>
      <c r="D17" s="374"/>
      <c r="E17" s="45"/>
      <c r="F17" s="45"/>
      <c r="G17" s="46">
        <f t="shared" si="1"/>
        <v>0</v>
      </c>
      <c r="H17" s="47" t="str">
        <f t="shared" si="2"/>
        <v>-</v>
      </c>
      <c r="I17" s="461"/>
      <c r="J17" s="374"/>
      <c r="K17" s="45"/>
      <c r="L17" s="46">
        <f t="shared" si="3"/>
        <v>0</v>
      </c>
      <c r="M17" s="47" t="str">
        <f t="shared" si="4"/>
        <v>-</v>
      </c>
      <c r="N17" s="452"/>
      <c r="O17" s="374"/>
      <c r="P17" s="45"/>
      <c r="Q17" s="46">
        <f t="shared" si="5"/>
        <v>0</v>
      </c>
      <c r="R17" s="47" t="str">
        <f t="shared" si="6"/>
        <v>-</v>
      </c>
      <c r="S17" s="452"/>
      <c r="T17" s="45"/>
      <c r="U17" s="45"/>
      <c r="V17" s="46">
        <f t="shared" si="7"/>
        <v>0</v>
      </c>
      <c r="W17" s="47" t="str">
        <f t="shared" si="8"/>
        <v>-</v>
      </c>
      <c r="X17" s="452"/>
    </row>
    <row r="18" spans="1:24" x14ac:dyDescent="0.2">
      <c r="A18" s="222">
        <v>1270</v>
      </c>
      <c r="B18" s="40" t="s">
        <v>283</v>
      </c>
      <c r="C18" s="45"/>
      <c r="D18" s="374"/>
      <c r="E18" s="45"/>
      <c r="F18" s="45"/>
      <c r="G18" s="46">
        <f t="shared" si="1"/>
        <v>0</v>
      </c>
      <c r="H18" s="47" t="str">
        <f t="shared" si="2"/>
        <v>-</v>
      </c>
      <c r="I18" s="461"/>
      <c r="J18" s="374"/>
      <c r="K18" s="45"/>
      <c r="L18" s="46">
        <f t="shared" si="3"/>
        <v>0</v>
      </c>
      <c r="M18" s="47" t="str">
        <f t="shared" si="4"/>
        <v>-</v>
      </c>
      <c r="N18" s="452"/>
      <c r="O18" s="374"/>
      <c r="P18" s="45"/>
      <c r="Q18" s="46">
        <f t="shared" si="5"/>
        <v>0</v>
      </c>
      <c r="R18" s="47" t="str">
        <f t="shared" si="6"/>
        <v>-</v>
      </c>
      <c r="S18" s="452"/>
      <c r="T18" s="45"/>
      <c r="U18" s="45"/>
      <c r="V18" s="46">
        <f t="shared" si="7"/>
        <v>0</v>
      </c>
      <c r="W18" s="47" t="str">
        <f t="shared" si="8"/>
        <v>-</v>
      </c>
      <c r="X18" s="452"/>
    </row>
    <row r="19" spans="1:24" x14ac:dyDescent="0.2">
      <c r="A19" s="222">
        <v>1280</v>
      </c>
      <c r="B19" s="40" t="s">
        <v>226</v>
      </c>
      <c r="C19" s="45"/>
      <c r="D19" s="374"/>
      <c r="E19" s="45"/>
      <c r="F19" s="45"/>
      <c r="G19" s="46">
        <f t="shared" si="1"/>
        <v>0</v>
      </c>
      <c r="H19" s="47" t="str">
        <f t="shared" si="2"/>
        <v>-</v>
      </c>
      <c r="I19" s="461"/>
      <c r="J19" s="374"/>
      <c r="K19" s="45">
        <v>101263</v>
      </c>
      <c r="L19" s="46">
        <f t="shared" si="3"/>
        <v>101263</v>
      </c>
      <c r="M19" s="47" t="str">
        <f t="shared" si="4"/>
        <v>-</v>
      </c>
      <c r="N19" s="452"/>
      <c r="O19" s="374"/>
      <c r="P19" s="45"/>
      <c r="Q19" s="46">
        <f t="shared" si="5"/>
        <v>0</v>
      </c>
      <c r="R19" s="47" t="str">
        <f t="shared" si="6"/>
        <v>-</v>
      </c>
      <c r="S19" s="452"/>
      <c r="T19" s="45"/>
      <c r="U19" s="45"/>
      <c r="V19" s="46">
        <f t="shared" si="7"/>
        <v>0</v>
      </c>
      <c r="W19" s="47" t="str">
        <f t="shared" si="8"/>
        <v>-</v>
      </c>
      <c r="X19" s="452"/>
    </row>
    <row r="20" spans="1:24" ht="31.5" x14ac:dyDescent="0.2">
      <c r="A20" s="222">
        <v>1290</v>
      </c>
      <c r="B20" s="40" t="s">
        <v>342</v>
      </c>
      <c r="C20" s="45">
        <v>-3254248</v>
      </c>
      <c r="D20" s="374">
        <v>-3549806</v>
      </c>
      <c r="E20" s="45">
        <v>-3325930</v>
      </c>
      <c r="F20" s="45">
        <v>-3324733</v>
      </c>
      <c r="G20" s="46">
        <f t="shared" si="1"/>
        <v>1197</v>
      </c>
      <c r="H20" s="47">
        <f t="shared" si="2"/>
        <v>3.598993364262026E-4</v>
      </c>
      <c r="I20" s="461"/>
      <c r="J20" s="374">
        <v>-3395623</v>
      </c>
      <c r="K20" s="45">
        <v>-3392624</v>
      </c>
      <c r="L20" s="46">
        <f t="shared" ref="L20" si="16">K20-J20</f>
        <v>2999</v>
      </c>
      <c r="M20" s="47">
        <f t="shared" si="4"/>
        <v>8.8319580825079813E-4</v>
      </c>
      <c r="N20" s="452"/>
      <c r="O20" s="374">
        <v>-3471362</v>
      </c>
      <c r="P20" s="45">
        <v>-3458031</v>
      </c>
      <c r="Q20" s="46">
        <f t="shared" si="5"/>
        <v>13331</v>
      </c>
      <c r="R20" s="47">
        <f t="shared" si="6"/>
        <v>3.8402794061812048E-3</v>
      </c>
      <c r="S20" s="452"/>
      <c r="T20" s="45">
        <f>D20</f>
        <v>-3549806</v>
      </c>
      <c r="U20" s="45"/>
      <c r="V20" s="46">
        <f t="shared" si="7"/>
        <v>3549806</v>
      </c>
      <c r="W20" s="47">
        <f t="shared" si="8"/>
        <v>1</v>
      </c>
      <c r="X20" s="452"/>
    </row>
    <row r="21" spans="1:24" s="267" customFormat="1" ht="15.6" customHeight="1" x14ac:dyDescent="0.2">
      <c r="A21" s="186">
        <v>1300</v>
      </c>
      <c r="B21" s="51" t="s">
        <v>227</v>
      </c>
      <c r="C21" s="37">
        <v>0</v>
      </c>
      <c r="D21" s="373">
        <v>0</v>
      </c>
      <c r="E21" s="37">
        <v>0</v>
      </c>
      <c r="F21" s="37">
        <v>0</v>
      </c>
      <c r="G21" s="38">
        <v>0</v>
      </c>
      <c r="H21" s="278" t="str">
        <f t="shared" ref="H21:H24" si="17">IFERROR(G21/ABS(E21), "-")</f>
        <v>-</v>
      </c>
      <c r="I21" s="279"/>
      <c r="J21" s="380">
        <v>0</v>
      </c>
      <c r="K21" s="37">
        <v>0</v>
      </c>
      <c r="L21" s="38">
        <v>0</v>
      </c>
      <c r="M21" s="29" t="str">
        <f t="shared" ref="M21:M24" si="18">IFERROR(L21/ABS(J21), "-")</f>
        <v>-</v>
      </c>
      <c r="N21" s="279"/>
      <c r="O21" s="373">
        <v>0</v>
      </c>
      <c r="P21" s="37">
        <v>0</v>
      </c>
      <c r="Q21" s="38">
        <f>P21-O21</f>
        <v>0</v>
      </c>
      <c r="R21" s="29" t="str">
        <f t="shared" ref="R21:R24" si="19">IFERROR(Q21/ABS(O21), "-")</f>
        <v>-</v>
      </c>
      <c r="S21" s="279"/>
      <c r="T21" s="37">
        <v>0</v>
      </c>
      <c r="U21" s="37">
        <v>0</v>
      </c>
      <c r="V21" s="38">
        <f t="shared" ref="V21:V24" si="20">U21-T21</f>
        <v>0</v>
      </c>
      <c r="W21" s="29" t="str">
        <f t="shared" ref="W21:W24" si="21">IFERROR(V21/ABS(T21), "-")</f>
        <v>-</v>
      </c>
      <c r="X21" s="187"/>
    </row>
    <row r="22" spans="1:24" s="268" customFormat="1" ht="15.95" customHeight="1" x14ac:dyDescent="0.2">
      <c r="A22" s="119">
        <v>1400</v>
      </c>
      <c r="B22" s="51" t="s">
        <v>343</v>
      </c>
      <c r="C22" s="54">
        <v>0</v>
      </c>
      <c r="D22" s="375">
        <v>0</v>
      </c>
      <c r="E22" s="54">
        <v>0</v>
      </c>
      <c r="F22" s="54">
        <v>0</v>
      </c>
      <c r="G22" s="259">
        <f t="shared" ref="G22:G24" si="22">F22-E22</f>
        <v>0</v>
      </c>
      <c r="H22" s="278" t="str">
        <f t="shared" si="17"/>
        <v>-</v>
      </c>
      <c r="I22" s="187"/>
      <c r="J22" s="381">
        <v>0</v>
      </c>
      <c r="K22" s="54">
        <v>0</v>
      </c>
      <c r="L22" s="38">
        <v>0</v>
      </c>
      <c r="M22" s="29" t="str">
        <f t="shared" si="18"/>
        <v>-</v>
      </c>
      <c r="N22" s="187"/>
      <c r="O22" s="375">
        <v>0</v>
      </c>
      <c r="P22" s="54">
        <v>0</v>
      </c>
      <c r="Q22" s="38">
        <f t="shared" ref="Q22:Q24" si="23">P22-O22</f>
        <v>0</v>
      </c>
      <c r="R22" s="29" t="str">
        <f t="shared" si="19"/>
        <v>-</v>
      </c>
      <c r="S22" s="187"/>
      <c r="T22" s="54">
        <v>0</v>
      </c>
      <c r="U22" s="54">
        <v>0</v>
      </c>
      <c r="V22" s="38">
        <f t="shared" si="20"/>
        <v>0</v>
      </c>
      <c r="W22" s="29" t="str">
        <f t="shared" si="21"/>
        <v>-</v>
      </c>
      <c r="X22" s="187"/>
    </row>
    <row r="23" spans="1:24" s="268" customFormat="1" ht="15.95" customHeight="1" x14ac:dyDescent="0.2">
      <c r="A23" s="119">
        <v>1500</v>
      </c>
      <c r="B23" s="51" t="s">
        <v>344</v>
      </c>
      <c r="C23" s="54">
        <v>0</v>
      </c>
      <c r="D23" s="375">
        <v>0</v>
      </c>
      <c r="E23" s="54">
        <v>0</v>
      </c>
      <c r="F23" s="54">
        <v>0</v>
      </c>
      <c r="G23" s="259">
        <f t="shared" si="22"/>
        <v>0</v>
      </c>
      <c r="H23" s="29" t="str">
        <f t="shared" si="17"/>
        <v>-</v>
      </c>
      <c r="I23" s="260"/>
      <c r="J23" s="375">
        <v>0</v>
      </c>
      <c r="K23" s="54">
        <v>0</v>
      </c>
      <c r="L23" s="38">
        <v>0</v>
      </c>
      <c r="M23" s="29" t="str">
        <f t="shared" si="18"/>
        <v>-</v>
      </c>
      <c r="N23" s="260"/>
      <c r="O23" s="375">
        <v>0</v>
      </c>
      <c r="P23" s="54">
        <v>0</v>
      </c>
      <c r="Q23" s="38">
        <f t="shared" si="23"/>
        <v>0</v>
      </c>
      <c r="R23" s="29" t="str">
        <f t="shared" si="19"/>
        <v>-</v>
      </c>
      <c r="S23" s="187"/>
      <c r="T23" s="54">
        <v>0</v>
      </c>
      <c r="U23" s="54">
        <v>0</v>
      </c>
      <c r="V23" s="38">
        <f t="shared" si="20"/>
        <v>0</v>
      </c>
      <c r="W23" s="29" t="str">
        <f t="shared" si="21"/>
        <v>-</v>
      </c>
      <c r="X23" s="187"/>
    </row>
    <row r="24" spans="1:24" s="268" customFormat="1" ht="31.5" customHeight="1" x14ac:dyDescent="0.2">
      <c r="A24" s="119">
        <v>1600</v>
      </c>
      <c r="B24" s="51" t="s">
        <v>345</v>
      </c>
      <c r="C24" s="54">
        <v>0</v>
      </c>
      <c r="D24" s="375">
        <v>0</v>
      </c>
      <c r="E24" s="54">
        <v>0</v>
      </c>
      <c r="F24" s="54">
        <v>0</v>
      </c>
      <c r="G24" s="259">
        <f t="shared" si="22"/>
        <v>0</v>
      </c>
      <c r="H24" s="29" t="str">
        <f t="shared" si="17"/>
        <v>-</v>
      </c>
      <c r="I24" s="260"/>
      <c r="J24" s="375">
        <v>0</v>
      </c>
      <c r="K24" s="54">
        <v>0</v>
      </c>
      <c r="L24" s="38">
        <v>0</v>
      </c>
      <c r="M24" s="29" t="str">
        <f t="shared" si="18"/>
        <v>-</v>
      </c>
      <c r="N24" s="260"/>
      <c r="O24" s="375">
        <v>0</v>
      </c>
      <c r="P24" s="54">
        <v>0</v>
      </c>
      <c r="Q24" s="38">
        <f t="shared" si="23"/>
        <v>0</v>
      </c>
      <c r="R24" s="29" t="str">
        <f t="shared" si="19"/>
        <v>-</v>
      </c>
      <c r="S24" s="187"/>
      <c r="T24" s="54">
        <v>0</v>
      </c>
      <c r="U24" s="54">
        <v>0</v>
      </c>
      <c r="V24" s="38">
        <f t="shared" si="20"/>
        <v>0</v>
      </c>
      <c r="W24" s="29" t="str">
        <f t="shared" si="21"/>
        <v>-</v>
      </c>
      <c r="X24" s="187"/>
    </row>
    <row r="25" spans="1:24" s="34" customFormat="1" x14ac:dyDescent="0.2">
      <c r="A25" s="270">
        <v>2000</v>
      </c>
      <c r="B25" s="236" t="s">
        <v>228</v>
      </c>
      <c r="C25" s="252">
        <f>C26+C36+C44+C45+C46</f>
        <v>2786523</v>
      </c>
      <c r="D25" s="372" t="e">
        <f>D26+D36+D44+D45+D46</f>
        <v>#REF!</v>
      </c>
      <c r="E25" s="252">
        <f>E26+E36+E44+E45+E46</f>
        <v>2499692</v>
      </c>
      <c r="F25" s="252">
        <f>F26+F36+F44+F45+F46</f>
        <v>2568498</v>
      </c>
      <c r="G25" s="253">
        <f t="shared" ref="G25:G30" si="24">F25-E25</f>
        <v>68806</v>
      </c>
      <c r="H25" s="254">
        <f t="shared" ref="H25:H30" si="25">IFERROR(G25/ABS(E25), "-")</f>
        <v>2.7525791177473065E-2</v>
      </c>
      <c r="I25" s="255"/>
      <c r="J25" s="372" t="e">
        <f>J26+J36+J44+J45+J46</f>
        <v>#REF!</v>
      </c>
      <c r="K25" s="252">
        <f>K26+K36+K44+K45+K46</f>
        <v>2529697</v>
      </c>
      <c r="L25" s="253" t="e">
        <f t="shared" ref="L25:L30" si="26">K25-J25</f>
        <v>#REF!</v>
      </c>
      <c r="M25" s="254" t="str">
        <f t="shared" ref="M25:M30" si="27">IFERROR(L25/ABS(J25), "-")</f>
        <v>-</v>
      </c>
      <c r="N25" s="255"/>
      <c r="O25" s="372" t="e">
        <f>O26+O36+O44+O45+O46</f>
        <v>#REF!</v>
      </c>
      <c r="P25" s="252">
        <f>P26+P36+P44+P45+P46</f>
        <v>2136430</v>
      </c>
      <c r="Q25" s="253" t="e">
        <f t="shared" ref="Q25:Q30" si="28">P25-O25</f>
        <v>#REF!</v>
      </c>
      <c r="R25" s="254" t="str">
        <f t="shared" ref="R25:R30" si="29">IFERROR(Q25/ABS(O25), "-")</f>
        <v>-</v>
      </c>
      <c r="S25" s="255"/>
      <c r="T25" s="252" t="e">
        <f>T26+T36+T44+T45+T46</f>
        <v>#REF!</v>
      </c>
      <c r="U25" s="252">
        <f>U26+U36</f>
        <v>0</v>
      </c>
      <c r="V25" s="253" t="e">
        <f t="shared" ref="V25:V34" si="30">U25-T25</f>
        <v>#REF!</v>
      </c>
      <c r="W25" s="254" t="str">
        <f t="shared" ref="W25:W34" si="31">IFERROR(V25/ABS(T25), "-")</f>
        <v>-</v>
      </c>
      <c r="X25" s="255"/>
    </row>
    <row r="26" spans="1:24" s="34" customFormat="1" x14ac:dyDescent="0.2">
      <c r="A26" s="186">
        <v>2100</v>
      </c>
      <c r="B26" s="51" t="s">
        <v>229</v>
      </c>
      <c r="C26" s="37">
        <f>SUM(C27:C35)</f>
        <v>122874</v>
      </c>
      <c r="D26" s="373">
        <f t="shared" ref="D26:E26" si="32">SUM(D27:D35)</f>
        <v>130000</v>
      </c>
      <c r="E26" s="37">
        <f t="shared" si="32"/>
        <v>120000</v>
      </c>
      <c r="F26" s="37">
        <f t="shared" ref="F26" si="33">SUM(F27:F34)</f>
        <v>139647</v>
      </c>
      <c r="G26" s="38">
        <f t="shared" si="24"/>
        <v>19647</v>
      </c>
      <c r="H26" s="29">
        <f t="shared" si="25"/>
        <v>0.16372500000000001</v>
      </c>
      <c r="I26" s="451"/>
      <c r="J26" s="373">
        <f>SUM(J27:J35)</f>
        <v>130000</v>
      </c>
      <c r="K26" s="37">
        <f>SUM(K27:K35)</f>
        <v>129227</v>
      </c>
      <c r="L26" s="38">
        <f t="shared" si="26"/>
        <v>-773</v>
      </c>
      <c r="M26" s="29">
        <f t="shared" si="27"/>
        <v>-5.9461538461538458E-3</v>
      </c>
      <c r="N26" s="451"/>
      <c r="O26" s="373">
        <f>SUM(O27:O35)</f>
        <v>130000</v>
      </c>
      <c r="P26" s="37">
        <f>SUM(P27:P35)</f>
        <v>103716</v>
      </c>
      <c r="Q26" s="38">
        <f t="shared" si="28"/>
        <v>-26284</v>
      </c>
      <c r="R26" s="29">
        <f t="shared" si="29"/>
        <v>-0.20218461538461538</v>
      </c>
      <c r="S26" s="448" t="s">
        <v>428</v>
      </c>
      <c r="T26" s="37">
        <f>SUM(T27:T35)</f>
        <v>130000</v>
      </c>
      <c r="U26" s="37">
        <f>SUM(U27:U35)</f>
        <v>0</v>
      </c>
      <c r="V26" s="38">
        <f t="shared" si="30"/>
        <v>-130000</v>
      </c>
      <c r="W26" s="29">
        <f t="shared" si="31"/>
        <v>-1</v>
      </c>
      <c r="X26" s="459"/>
    </row>
    <row r="27" spans="1:24" x14ac:dyDescent="0.2">
      <c r="A27" s="222">
        <v>2110</v>
      </c>
      <c r="B27" s="40" t="s">
        <v>284</v>
      </c>
      <c r="C27" s="45">
        <v>122528</v>
      </c>
      <c r="D27" s="374">
        <v>130000</v>
      </c>
      <c r="E27" s="45">
        <v>120000</v>
      </c>
      <c r="F27" s="45">
        <v>135548</v>
      </c>
      <c r="G27" s="46">
        <f t="shared" si="24"/>
        <v>15548</v>
      </c>
      <c r="H27" s="47">
        <f t="shared" si="25"/>
        <v>0.12956666666666666</v>
      </c>
      <c r="I27" s="452"/>
      <c r="J27" s="374">
        <v>130000</v>
      </c>
      <c r="K27" s="45">
        <v>129202</v>
      </c>
      <c r="L27" s="46">
        <f t="shared" si="26"/>
        <v>-798</v>
      </c>
      <c r="M27" s="47">
        <f t="shared" si="27"/>
        <v>-6.1384615384615388E-3</v>
      </c>
      <c r="N27" s="452"/>
      <c r="O27" s="374">
        <v>130000</v>
      </c>
      <c r="P27" s="45">
        <v>103716</v>
      </c>
      <c r="Q27" s="46">
        <f t="shared" si="28"/>
        <v>-26284</v>
      </c>
      <c r="R27" s="47">
        <f t="shared" si="29"/>
        <v>-0.20218461538461538</v>
      </c>
      <c r="S27" s="449"/>
      <c r="T27" s="45">
        <f>D27</f>
        <v>130000</v>
      </c>
      <c r="U27" s="45"/>
      <c r="V27" s="46">
        <f t="shared" si="30"/>
        <v>-130000</v>
      </c>
      <c r="W27" s="47">
        <f t="shared" si="31"/>
        <v>-1</v>
      </c>
      <c r="X27" s="459"/>
    </row>
    <row r="28" spans="1:24" x14ac:dyDescent="0.2">
      <c r="A28" s="222">
        <v>2120</v>
      </c>
      <c r="B28" s="40" t="s">
        <v>285</v>
      </c>
      <c r="C28" s="45"/>
      <c r="D28" s="374"/>
      <c r="E28" s="45"/>
      <c r="F28" s="45"/>
      <c r="G28" s="46">
        <f t="shared" si="24"/>
        <v>0</v>
      </c>
      <c r="H28" s="47" t="str">
        <f t="shared" si="25"/>
        <v>-</v>
      </c>
      <c r="I28" s="452"/>
      <c r="J28" s="374"/>
      <c r="K28" s="45"/>
      <c r="L28" s="46">
        <f t="shared" si="26"/>
        <v>0</v>
      </c>
      <c r="M28" s="47" t="str">
        <f t="shared" si="27"/>
        <v>-</v>
      </c>
      <c r="N28" s="452"/>
      <c r="O28" s="374"/>
      <c r="P28" s="45"/>
      <c r="Q28" s="46">
        <f t="shared" si="28"/>
        <v>0</v>
      </c>
      <c r="R28" s="47" t="str">
        <f t="shared" si="29"/>
        <v>-</v>
      </c>
      <c r="S28" s="449"/>
      <c r="T28" s="45"/>
      <c r="U28" s="45"/>
      <c r="V28" s="46">
        <f t="shared" si="30"/>
        <v>0</v>
      </c>
      <c r="W28" s="47" t="str">
        <f t="shared" si="31"/>
        <v>-</v>
      </c>
      <c r="X28" s="459"/>
    </row>
    <row r="29" spans="1:24" ht="31.5" x14ac:dyDescent="0.2">
      <c r="A29" s="222">
        <v>2130</v>
      </c>
      <c r="B29" s="40" t="s">
        <v>346</v>
      </c>
      <c r="C29" s="45"/>
      <c r="D29" s="374"/>
      <c r="E29" s="45"/>
      <c r="F29" s="45"/>
      <c r="G29" s="46">
        <f t="shared" si="24"/>
        <v>0</v>
      </c>
      <c r="H29" s="47" t="str">
        <f t="shared" si="25"/>
        <v>-</v>
      </c>
      <c r="I29" s="452"/>
      <c r="J29" s="374"/>
      <c r="K29" s="45"/>
      <c r="L29" s="46">
        <f t="shared" si="26"/>
        <v>0</v>
      </c>
      <c r="M29" s="47" t="str">
        <f t="shared" si="27"/>
        <v>-</v>
      </c>
      <c r="N29" s="452"/>
      <c r="O29" s="374"/>
      <c r="P29" s="45"/>
      <c r="Q29" s="46">
        <f t="shared" si="28"/>
        <v>0</v>
      </c>
      <c r="R29" s="47" t="str">
        <f t="shared" si="29"/>
        <v>-</v>
      </c>
      <c r="S29" s="449"/>
      <c r="T29" s="45"/>
      <c r="U29" s="45"/>
      <c r="V29" s="46">
        <f t="shared" si="30"/>
        <v>0</v>
      </c>
      <c r="W29" s="47" t="str">
        <f t="shared" si="31"/>
        <v>-</v>
      </c>
      <c r="X29" s="459"/>
    </row>
    <row r="30" spans="1:24" ht="15.6" customHeight="1" x14ac:dyDescent="0.2">
      <c r="A30" s="222">
        <v>2140</v>
      </c>
      <c r="B30" s="261" t="s">
        <v>347</v>
      </c>
      <c r="C30" s="45"/>
      <c r="D30" s="374"/>
      <c r="E30" s="45"/>
      <c r="F30" s="45"/>
      <c r="G30" s="46">
        <f t="shared" si="24"/>
        <v>0</v>
      </c>
      <c r="H30" s="47" t="str">
        <f t="shared" si="25"/>
        <v>-</v>
      </c>
      <c r="I30" s="452"/>
      <c r="J30" s="374"/>
      <c r="K30" s="45"/>
      <c r="L30" s="46">
        <f t="shared" si="26"/>
        <v>0</v>
      </c>
      <c r="M30" s="47" t="str">
        <f t="shared" si="27"/>
        <v>-</v>
      </c>
      <c r="N30" s="452"/>
      <c r="O30" s="374"/>
      <c r="P30" s="45"/>
      <c r="Q30" s="46">
        <f t="shared" si="28"/>
        <v>0</v>
      </c>
      <c r="R30" s="47" t="str">
        <f t="shared" si="29"/>
        <v>-</v>
      </c>
      <c r="S30" s="449"/>
      <c r="T30" s="45"/>
      <c r="U30" s="45"/>
      <c r="V30" s="46">
        <f t="shared" si="30"/>
        <v>0</v>
      </c>
      <c r="W30" s="47" t="str">
        <f t="shared" si="31"/>
        <v>-</v>
      </c>
      <c r="X30" s="459"/>
    </row>
    <row r="31" spans="1:24" ht="15.6" customHeight="1" x14ac:dyDescent="0.2">
      <c r="A31" s="222">
        <v>2150</v>
      </c>
      <c r="B31" s="261" t="s">
        <v>348</v>
      </c>
      <c r="C31" s="45"/>
      <c r="D31" s="374"/>
      <c r="E31" s="45"/>
      <c r="F31" s="45"/>
      <c r="G31" s="46">
        <f t="shared" ref="G31:G35" si="34">F31-E31</f>
        <v>0</v>
      </c>
      <c r="H31" s="47" t="str">
        <f t="shared" ref="H31:H35" si="35">IFERROR(G31/ABS(E31), "-")</f>
        <v>-</v>
      </c>
      <c r="I31" s="452"/>
      <c r="J31" s="374"/>
      <c r="K31" s="45"/>
      <c r="L31" s="46">
        <f t="shared" ref="L31:L34" si="36">K31-J31</f>
        <v>0</v>
      </c>
      <c r="M31" s="47" t="str">
        <f t="shared" ref="M31:M34" si="37">IFERROR(L31/ABS(J31), "-")</f>
        <v>-</v>
      </c>
      <c r="N31" s="452"/>
      <c r="O31" s="374"/>
      <c r="P31" s="45"/>
      <c r="Q31" s="46">
        <f t="shared" ref="Q31:Q34" si="38">P31-O31</f>
        <v>0</v>
      </c>
      <c r="R31" s="47" t="str">
        <f t="shared" ref="R31:R34" si="39">IFERROR(Q31/ABS(O31), "-")</f>
        <v>-</v>
      </c>
      <c r="S31" s="449"/>
      <c r="T31" s="45"/>
      <c r="U31" s="45"/>
      <c r="V31" s="46">
        <f t="shared" si="30"/>
        <v>0</v>
      </c>
      <c r="W31" s="47" t="str">
        <f t="shared" si="31"/>
        <v>-</v>
      </c>
      <c r="X31" s="459"/>
    </row>
    <row r="32" spans="1:24" ht="15.6" customHeight="1" x14ac:dyDescent="0.2">
      <c r="A32" s="222">
        <v>2160</v>
      </c>
      <c r="B32" s="261" t="s">
        <v>46</v>
      </c>
      <c r="C32" s="45"/>
      <c r="D32" s="374"/>
      <c r="E32" s="45"/>
      <c r="F32" s="45"/>
      <c r="G32" s="46">
        <f t="shared" si="34"/>
        <v>0</v>
      </c>
      <c r="H32" s="47" t="str">
        <f t="shared" si="35"/>
        <v>-</v>
      </c>
      <c r="I32" s="452"/>
      <c r="J32" s="374"/>
      <c r="K32" s="45"/>
      <c r="L32" s="46">
        <f t="shared" si="36"/>
        <v>0</v>
      </c>
      <c r="M32" s="47" t="str">
        <f t="shared" si="37"/>
        <v>-</v>
      </c>
      <c r="N32" s="452"/>
      <c r="O32" s="374"/>
      <c r="P32" s="45"/>
      <c r="Q32" s="46">
        <f t="shared" si="38"/>
        <v>0</v>
      </c>
      <c r="R32" s="47" t="str">
        <f t="shared" si="39"/>
        <v>-</v>
      </c>
      <c r="S32" s="449"/>
      <c r="T32" s="45"/>
      <c r="U32" s="45"/>
      <c r="V32" s="46">
        <f t="shared" si="30"/>
        <v>0</v>
      </c>
      <c r="W32" s="47" t="str">
        <f t="shared" si="31"/>
        <v>-</v>
      </c>
      <c r="X32" s="459"/>
    </row>
    <row r="33" spans="1:24" ht="30.95" customHeight="1" x14ac:dyDescent="0.2">
      <c r="A33" s="222">
        <v>2170</v>
      </c>
      <c r="B33" s="261" t="s">
        <v>349</v>
      </c>
      <c r="C33" s="45"/>
      <c r="D33" s="374"/>
      <c r="E33" s="45"/>
      <c r="F33" s="45"/>
      <c r="G33" s="46">
        <f t="shared" si="34"/>
        <v>0</v>
      </c>
      <c r="H33" s="47" t="str">
        <f t="shared" si="35"/>
        <v>-</v>
      </c>
      <c r="I33" s="452"/>
      <c r="J33" s="374"/>
      <c r="K33" s="45"/>
      <c r="L33" s="46">
        <f t="shared" si="36"/>
        <v>0</v>
      </c>
      <c r="M33" s="47" t="str">
        <f t="shared" si="37"/>
        <v>-</v>
      </c>
      <c r="N33" s="452"/>
      <c r="O33" s="374"/>
      <c r="P33" s="45"/>
      <c r="Q33" s="46">
        <f t="shared" si="38"/>
        <v>0</v>
      </c>
      <c r="R33" s="47" t="str">
        <f t="shared" si="39"/>
        <v>-</v>
      </c>
      <c r="S33" s="449"/>
      <c r="T33" s="45"/>
      <c r="U33" s="45"/>
      <c r="V33" s="46">
        <f t="shared" si="30"/>
        <v>0</v>
      </c>
      <c r="W33" s="47" t="str">
        <f t="shared" si="31"/>
        <v>-</v>
      </c>
      <c r="X33" s="459"/>
    </row>
    <row r="34" spans="1:24" ht="31.5" x14ac:dyDescent="0.2">
      <c r="A34" s="222">
        <v>2180</v>
      </c>
      <c r="B34" s="40" t="s">
        <v>350</v>
      </c>
      <c r="C34" s="45">
        <v>346</v>
      </c>
      <c r="D34" s="374">
        <v>0</v>
      </c>
      <c r="E34" s="45">
        <v>0</v>
      </c>
      <c r="F34" s="45">
        <v>4099</v>
      </c>
      <c r="G34" s="46">
        <f t="shared" si="34"/>
        <v>4099</v>
      </c>
      <c r="H34" s="47" t="str">
        <f t="shared" si="35"/>
        <v>-</v>
      </c>
      <c r="I34" s="452"/>
      <c r="J34" s="374">
        <v>0</v>
      </c>
      <c r="K34" s="45">
        <v>25</v>
      </c>
      <c r="L34" s="46">
        <f t="shared" si="36"/>
        <v>25</v>
      </c>
      <c r="M34" s="47" t="str">
        <f t="shared" si="37"/>
        <v>-</v>
      </c>
      <c r="N34" s="452"/>
      <c r="O34" s="374">
        <v>0</v>
      </c>
      <c r="P34" s="45">
        <v>0</v>
      </c>
      <c r="Q34" s="46">
        <f t="shared" si="38"/>
        <v>0</v>
      </c>
      <c r="R34" s="47" t="str">
        <f t="shared" si="39"/>
        <v>-</v>
      </c>
      <c r="S34" s="449"/>
      <c r="T34" s="45">
        <f>D34</f>
        <v>0</v>
      </c>
      <c r="U34" s="45"/>
      <c r="V34" s="46">
        <f t="shared" si="30"/>
        <v>0</v>
      </c>
      <c r="W34" s="47" t="str">
        <f t="shared" si="31"/>
        <v>-</v>
      </c>
      <c r="X34" s="459"/>
    </row>
    <row r="35" spans="1:24" x14ac:dyDescent="0.2">
      <c r="A35" s="222">
        <v>2190</v>
      </c>
      <c r="B35" s="40" t="s">
        <v>351</v>
      </c>
      <c r="C35" s="45"/>
      <c r="D35" s="374"/>
      <c r="E35" s="45"/>
      <c r="F35" s="45"/>
      <c r="G35" s="46">
        <f t="shared" si="34"/>
        <v>0</v>
      </c>
      <c r="H35" s="47" t="str">
        <f t="shared" si="35"/>
        <v>-</v>
      </c>
      <c r="I35" s="453"/>
      <c r="J35" s="374"/>
      <c r="K35" s="45"/>
      <c r="L35" s="46">
        <f t="shared" ref="L35" si="40">K35-J35</f>
        <v>0</v>
      </c>
      <c r="M35" s="47" t="str">
        <f t="shared" ref="M35" si="41">IFERROR(L35/ABS(J35), "-")</f>
        <v>-</v>
      </c>
      <c r="N35" s="453"/>
      <c r="O35" s="374"/>
      <c r="P35" s="45"/>
      <c r="Q35" s="46">
        <f t="shared" ref="Q35" si="42">P35-O35</f>
        <v>0</v>
      </c>
      <c r="R35" s="47" t="str">
        <f t="shared" ref="R35" si="43">IFERROR(Q35/ABS(O35), "-")</f>
        <v>-</v>
      </c>
      <c r="S35" s="450"/>
      <c r="T35" s="45"/>
      <c r="U35" s="45"/>
      <c r="V35" s="46">
        <f t="shared" ref="V35" si="44">U35-T35</f>
        <v>0</v>
      </c>
      <c r="W35" s="47" t="str">
        <f t="shared" ref="W35" si="45">IFERROR(V35/ABS(T35), "-")</f>
        <v>-</v>
      </c>
      <c r="X35" s="459"/>
    </row>
    <row r="36" spans="1:24" s="268" customFormat="1" x14ac:dyDescent="0.2">
      <c r="A36" s="186">
        <v>2300</v>
      </c>
      <c r="B36" s="51" t="s">
        <v>352</v>
      </c>
      <c r="C36" s="54">
        <f>SUM(C37:C43)</f>
        <v>312835</v>
      </c>
      <c r="D36" s="375">
        <f t="shared" ref="D36:E36" si="46">SUM(D37:D43)</f>
        <v>487559</v>
      </c>
      <c r="E36" s="54">
        <f t="shared" si="46"/>
        <v>402500</v>
      </c>
      <c r="F36" s="54">
        <f>SUM(F37:F43)</f>
        <v>556102</v>
      </c>
      <c r="G36" s="259">
        <f t="shared" ref="G36" si="47">F36-E36</f>
        <v>153602</v>
      </c>
      <c r="H36" s="189">
        <f t="shared" ref="H36" si="48">IFERROR(G36/ABS(E36), "-")</f>
        <v>0.3816198757763975</v>
      </c>
      <c r="I36" s="187"/>
      <c r="J36" s="375">
        <f>SUM(J37:J43)</f>
        <v>402500</v>
      </c>
      <c r="K36" s="54">
        <f>SUM(K37:K43)</f>
        <v>591776</v>
      </c>
      <c r="L36" s="259">
        <f t="shared" ref="L36" si="49">K36-J36</f>
        <v>189276</v>
      </c>
      <c r="M36" s="189">
        <f t="shared" ref="M36" si="50">IFERROR(L36/ABS(J36), "-")</f>
        <v>0.47025093167701865</v>
      </c>
      <c r="N36" s="187"/>
      <c r="O36" s="375">
        <f>SUM(O37:O43)</f>
        <v>421606</v>
      </c>
      <c r="P36" s="54">
        <f>SUM(P37:P43)</f>
        <v>570747</v>
      </c>
      <c r="Q36" s="259">
        <f t="shared" ref="Q36:Q44" si="51">P36-O36</f>
        <v>149141</v>
      </c>
      <c r="R36" s="189">
        <f t="shared" ref="R36:R44" si="52">IFERROR(Q36/ABS(O36), "-")</f>
        <v>0.35374496567885655</v>
      </c>
      <c r="S36" s="187"/>
      <c r="T36" s="54">
        <f>SUM(T37:T43)</f>
        <v>487559</v>
      </c>
      <c r="U36" s="54">
        <f>SUM(U37:U43)</f>
        <v>0</v>
      </c>
      <c r="V36" s="259">
        <f t="shared" ref="V36:V44" si="53">U36-T36</f>
        <v>-487559</v>
      </c>
      <c r="W36" s="189">
        <f t="shared" ref="W36:W44" si="54">IFERROR(V36/ABS(T36), "-")</f>
        <v>-1</v>
      </c>
      <c r="X36" s="187"/>
    </row>
    <row r="37" spans="1:24" ht="63" x14ac:dyDescent="0.2">
      <c r="A37" s="222">
        <v>2310</v>
      </c>
      <c r="B37" s="40" t="s">
        <v>353</v>
      </c>
      <c r="C37" s="45">
        <v>309813</v>
      </c>
      <c r="D37" s="374">
        <v>485059</v>
      </c>
      <c r="E37" s="45">
        <v>400000</v>
      </c>
      <c r="F37" s="45">
        <v>555065</v>
      </c>
      <c r="G37" s="46">
        <f t="shared" ref="G37:G46" si="55">F37-E37</f>
        <v>155065</v>
      </c>
      <c r="H37" s="47">
        <f t="shared" ref="H37:H46" si="56">IFERROR(G37/ABS(E37), "-")</f>
        <v>0.38766250000000002</v>
      </c>
      <c r="I37" s="290" t="s">
        <v>387</v>
      </c>
      <c r="J37" s="374">
        <v>400000</v>
      </c>
      <c r="K37" s="45">
        <v>591017</v>
      </c>
      <c r="L37" s="46">
        <f t="shared" ref="L37:L46" si="57">K37-J37</f>
        <v>191017</v>
      </c>
      <c r="M37" s="47">
        <f t="shared" ref="M37:M46" si="58">IFERROR(L37/ABS(J37), "-")</f>
        <v>0.47754249999999998</v>
      </c>
      <c r="N37" s="280"/>
      <c r="O37" s="374">
        <v>419106</v>
      </c>
      <c r="P37" s="45">
        <v>569868</v>
      </c>
      <c r="Q37" s="46">
        <f t="shared" si="51"/>
        <v>150762</v>
      </c>
      <c r="R37" s="47">
        <f t="shared" si="52"/>
        <v>0.35972283861362042</v>
      </c>
      <c r="S37" s="413" t="s">
        <v>429</v>
      </c>
      <c r="T37" s="45">
        <f>D37</f>
        <v>485059</v>
      </c>
      <c r="U37" s="45"/>
      <c r="V37" s="46">
        <f t="shared" si="53"/>
        <v>-485059</v>
      </c>
      <c r="W37" s="47">
        <f t="shared" si="54"/>
        <v>-1</v>
      </c>
      <c r="X37" s="280"/>
    </row>
    <row r="38" spans="1:24" ht="47.25" x14ac:dyDescent="0.2">
      <c r="A38" s="222">
        <v>2320</v>
      </c>
      <c r="B38" s="40" t="s">
        <v>354</v>
      </c>
      <c r="C38" s="45"/>
      <c r="D38" s="374"/>
      <c r="E38" s="45"/>
      <c r="F38" s="45"/>
      <c r="G38" s="46">
        <f t="shared" si="55"/>
        <v>0</v>
      </c>
      <c r="H38" s="47" t="str">
        <f t="shared" si="56"/>
        <v>-</v>
      </c>
      <c r="I38" s="280"/>
      <c r="J38" s="374"/>
      <c r="K38" s="45"/>
      <c r="L38" s="46">
        <f t="shared" si="57"/>
        <v>0</v>
      </c>
      <c r="M38" s="47" t="str">
        <f t="shared" si="58"/>
        <v>-</v>
      </c>
      <c r="N38" s="280"/>
      <c r="O38" s="374"/>
      <c r="P38" s="45"/>
      <c r="Q38" s="46">
        <f t="shared" si="51"/>
        <v>0</v>
      </c>
      <c r="R38" s="47" t="str">
        <f t="shared" si="52"/>
        <v>-</v>
      </c>
      <c r="S38" s="280"/>
      <c r="T38" s="45"/>
      <c r="U38" s="45"/>
      <c r="V38" s="46">
        <f t="shared" si="53"/>
        <v>0</v>
      </c>
      <c r="W38" s="47" t="str">
        <f t="shared" si="54"/>
        <v>-</v>
      </c>
      <c r="X38" s="280"/>
    </row>
    <row r="39" spans="1:24" ht="31.5" x14ac:dyDescent="0.2">
      <c r="A39" s="222">
        <v>2340</v>
      </c>
      <c r="B39" s="40" t="s">
        <v>355</v>
      </c>
      <c r="C39" s="45"/>
      <c r="D39" s="374"/>
      <c r="E39" s="45"/>
      <c r="F39" s="45"/>
      <c r="G39" s="46">
        <f t="shared" si="55"/>
        <v>0</v>
      </c>
      <c r="H39" s="47" t="str">
        <f t="shared" si="56"/>
        <v>-</v>
      </c>
      <c r="I39" s="280"/>
      <c r="J39" s="374"/>
      <c r="K39" s="45"/>
      <c r="L39" s="46">
        <f t="shared" si="57"/>
        <v>0</v>
      </c>
      <c r="M39" s="47" t="str">
        <f t="shared" si="58"/>
        <v>-</v>
      </c>
      <c r="N39" s="280"/>
      <c r="O39" s="374"/>
      <c r="P39" s="45"/>
      <c r="Q39" s="46">
        <f t="shared" si="51"/>
        <v>0</v>
      </c>
      <c r="R39" s="47" t="str">
        <f t="shared" si="52"/>
        <v>-</v>
      </c>
      <c r="S39" s="280"/>
      <c r="T39" s="45"/>
      <c r="U39" s="45"/>
      <c r="V39" s="46">
        <f t="shared" si="53"/>
        <v>0</v>
      </c>
      <c r="W39" s="47" t="str">
        <f t="shared" si="54"/>
        <v>-</v>
      </c>
      <c r="X39" s="280"/>
    </row>
    <row r="40" spans="1:24" x14ac:dyDescent="0.2">
      <c r="A40" s="222">
        <v>2360</v>
      </c>
      <c r="B40" s="40" t="s">
        <v>230</v>
      </c>
      <c r="C40" s="45">
        <v>1909</v>
      </c>
      <c r="D40" s="374">
        <v>1500</v>
      </c>
      <c r="E40" s="45">
        <v>1500</v>
      </c>
      <c r="F40" s="45">
        <v>0</v>
      </c>
      <c r="G40" s="46">
        <f t="shared" si="55"/>
        <v>-1500</v>
      </c>
      <c r="H40" s="47">
        <f t="shared" si="56"/>
        <v>-1</v>
      </c>
      <c r="I40" s="280"/>
      <c r="J40" s="374">
        <v>1500</v>
      </c>
      <c r="K40" s="45">
        <v>0</v>
      </c>
      <c r="L40" s="46">
        <f t="shared" si="57"/>
        <v>-1500</v>
      </c>
      <c r="M40" s="47">
        <f t="shared" si="58"/>
        <v>-1</v>
      </c>
      <c r="N40" s="280"/>
      <c r="O40" s="374">
        <v>1500</v>
      </c>
      <c r="P40" s="45">
        <v>0</v>
      </c>
      <c r="Q40" s="46">
        <f t="shared" si="51"/>
        <v>-1500</v>
      </c>
      <c r="R40" s="47">
        <f t="shared" si="52"/>
        <v>-1</v>
      </c>
      <c r="S40" s="280"/>
      <c r="T40" s="45">
        <f>D40</f>
        <v>1500</v>
      </c>
      <c r="U40" s="45"/>
      <c r="V40" s="46">
        <f t="shared" si="53"/>
        <v>-1500</v>
      </c>
      <c r="W40" s="47">
        <f t="shared" si="54"/>
        <v>-1</v>
      </c>
      <c r="X40" s="280"/>
    </row>
    <row r="41" spans="1:24" ht="31.5" x14ac:dyDescent="0.2">
      <c r="A41" s="222">
        <v>2370</v>
      </c>
      <c r="B41" s="40" t="s">
        <v>356</v>
      </c>
      <c r="C41" s="45"/>
      <c r="D41" s="374"/>
      <c r="E41" s="45"/>
      <c r="F41" s="45"/>
      <c r="G41" s="46">
        <f t="shared" si="55"/>
        <v>0</v>
      </c>
      <c r="H41" s="47" t="str">
        <f t="shared" si="56"/>
        <v>-</v>
      </c>
      <c r="I41" s="280"/>
      <c r="J41" s="374"/>
      <c r="K41" s="45"/>
      <c r="L41" s="46">
        <f t="shared" si="57"/>
        <v>0</v>
      </c>
      <c r="M41" s="47" t="str">
        <f t="shared" si="58"/>
        <v>-</v>
      </c>
      <c r="N41" s="280"/>
      <c r="O41" s="374"/>
      <c r="P41" s="45"/>
      <c r="Q41" s="46">
        <f t="shared" si="51"/>
        <v>0</v>
      </c>
      <c r="R41" s="47" t="str">
        <f t="shared" si="52"/>
        <v>-</v>
      </c>
      <c r="S41" s="280"/>
      <c r="T41" s="45"/>
      <c r="U41" s="45"/>
      <c r="V41" s="46">
        <f t="shared" si="53"/>
        <v>0</v>
      </c>
      <c r="W41" s="47" t="str">
        <f t="shared" si="54"/>
        <v>-</v>
      </c>
      <c r="X41" s="280"/>
    </row>
    <row r="42" spans="1:24" x14ac:dyDescent="0.2">
      <c r="A42" s="222">
        <v>2380</v>
      </c>
      <c r="B42" s="40" t="s">
        <v>357</v>
      </c>
      <c r="C42" s="45"/>
      <c r="D42" s="374"/>
      <c r="E42" s="45"/>
      <c r="F42" s="45"/>
      <c r="G42" s="46">
        <f t="shared" si="55"/>
        <v>0</v>
      </c>
      <c r="H42" s="47" t="str">
        <f t="shared" si="56"/>
        <v>-</v>
      </c>
      <c r="I42" s="280"/>
      <c r="J42" s="374"/>
      <c r="K42" s="45"/>
      <c r="L42" s="46">
        <f t="shared" si="57"/>
        <v>0</v>
      </c>
      <c r="M42" s="47" t="str">
        <f t="shared" si="58"/>
        <v>-</v>
      </c>
      <c r="N42" s="280"/>
      <c r="O42" s="374"/>
      <c r="P42" s="45"/>
      <c r="Q42" s="46">
        <f t="shared" si="51"/>
        <v>0</v>
      </c>
      <c r="R42" s="47" t="str">
        <f t="shared" si="52"/>
        <v>-</v>
      </c>
      <c r="S42" s="280"/>
      <c r="T42" s="45"/>
      <c r="U42" s="45"/>
      <c r="V42" s="46">
        <f t="shared" si="53"/>
        <v>0</v>
      </c>
      <c r="W42" s="47" t="str">
        <f t="shared" si="54"/>
        <v>-</v>
      </c>
      <c r="X42" s="280"/>
    </row>
    <row r="43" spans="1:24" x14ac:dyDescent="0.2">
      <c r="A43" s="222">
        <v>2390</v>
      </c>
      <c r="B43" s="40" t="s">
        <v>358</v>
      </c>
      <c r="C43" s="45">
        <v>1113</v>
      </c>
      <c r="D43" s="374">
        <v>1000</v>
      </c>
      <c r="E43" s="45">
        <v>1000</v>
      </c>
      <c r="F43" s="45">
        <v>1037</v>
      </c>
      <c r="G43" s="46">
        <f t="shared" si="55"/>
        <v>37</v>
      </c>
      <c r="H43" s="47">
        <f t="shared" si="56"/>
        <v>3.6999999999999998E-2</v>
      </c>
      <c r="I43" s="280"/>
      <c r="J43" s="374">
        <v>1000</v>
      </c>
      <c r="K43" s="45">
        <v>759</v>
      </c>
      <c r="L43" s="46">
        <f t="shared" si="57"/>
        <v>-241</v>
      </c>
      <c r="M43" s="47">
        <f t="shared" si="58"/>
        <v>-0.24099999999999999</v>
      </c>
      <c r="N43" s="280"/>
      <c r="O43" s="374">
        <v>1000</v>
      </c>
      <c r="P43" s="45">
        <v>879</v>
      </c>
      <c r="Q43" s="46">
        <f t="shared" si="51"/>
        <v>-121</v>
      </c>
      <c r="R43" s="47">
        <f t="shared" si="52"/>
        <v>-0.121</v>
      </c>
      <c r="S43" s="280"/>
      <c r="T43" s="45">
        <f>D43</f>
        <v>1000</v>
      </c>
      <c r="U43" s="45"/>
      <c r="V43" s="46">
        <f t="shared" si="53"/>
        <v>-1000</v>
      </c>
      <c r="W43" s="47">
        <f t="shared" si="54"/>
        <v>-1</v>
      </c>
      <c r="X43" s="280"/>
    </row>
    <row r="44" spans="1:24" s="268" customFormat="1" ht="47.25" x14ac:dyDescent="0.2">
      <c r="A44" s="186">
        <v>2400</v>
      </c>
      <c r="B44" s="51" t="s">
        <v>359</v>
      </c>
      <c r="C44" s="54">
        <v>42606</v>
      </c>
      <c r="D44" s="375">
        <v>44000</v>
      </c>
      <c r="E44" s="54">
        <v>60000</v>
      </c>
      <c r="F44" s="54">
        <v>51134</v>
      </c>
      <c r="G44" s="55">
        <f t="shared" si="55"/>
        <v>-8866</v>
      </c>
      <c r="H44" s="56">
        <f t="shared" si="56"/>
        <v>-0.14776666666666666</v>
      </c>
      <c r="I44" s="187"/>
      <c r="J44" s="375">
        <v>94472</v>
      </c>
      <c r="K44" s="54">
        <v>101129</v>
      </c>
      <c r="L44" s="55">
        <f t="shared" si="57"/>
        <v>6657</v>
      </c>
      <c r="M44" s="56">
        <f t="shared" si="58"/>
        <v>7.0465323058684054E-2</v>
      </c>
      <c r="N44" s="187"/>
      <c r="O44" s="375">
        <v>65000</v>
      </c>
      <c r="P44" s="54">
        <f>72222+5079</f>
        <v>77301</v>
      </c>
      <c r="Q44" s="264">
        <f t="shared" si="51"/>
        <v>12301</v>
      </c>
      <c r="R44" s="265">
        <f t="shared" si="52"/>
        <v>0.18924615384615384</v>
      </c>
      <c r="S44" s="415" t="s">
        <v>431</v>
      </c>
      <c r="T44" s="54">
        <f>D44</f>
        <v>44000</v>
      </c>
      <c r="U44" s="54"/>
      <c r="V44" s="55">
        <f t="shared" si="53"/>
        <v>-44000</v>
      </c>
      <c r="W44" s="56">
        <f t="shared" si="54"/>
        <v>-1</v>
      </c>
      <c r="X44" s="187"/>
    </row>
    <row r="45" spans="1:24" s="268" customFormat="1" x14ac:dyDescent="0.2">
      <c r="A45" s="186">
        <v>2500</v>
      </c>
      <c r="B45" s="51" t="s">
        <v>286</v>
      </c>
      <c r="C45" s="54">
        <v>0</v>
      </c>
      <c r="D45" s="375">
        <v>0</v>
      </c>
      <c r="E45" s="54">
        <v>0</v>
      </c>
      <c r="F45" s="54">
        <v>0</v>
      </c>
      <c r="G45" s="55">
        <f t="shared" si="55"/>
        <v>0</v>
      </c>
      <c r="H45" s="56" t="str">
        <f t="shared" si="56"/>
        <v>-</v>
      </c>
      <c r="I45" s="187"/>
      <c r="J45" s="375">
        <v>0</v>
      </c>
      <c r="K45" s="54">
        <v>0</v>
      </c>
      <c r="L45" s="55">
        <f t="shared" si="57"/>
        <v>0</v>
      </c>
      <c r="M45" s="56" t="str">
        <f t="shared" si="58"/>
        <v>-</v>
      </c>
      <c r="N45" s="187"/>
      <c r="O45" s="375"/>
      <c r="P45" s="54"/>
      <c r="Q45" s="55"/>
      <c r="R45" s="56"/>
      <c r="S45" s="187"/>
      <c r="T45" s="54"/>
      <c r="U45" s="54"/>
      <c r="V45" s="55">
        <f t="shared" ref="V45:V46" si="59">U45-T45</f>
        <v>0</v>
      </c>
      <c r="W45" s="56" t="str">
        <f t="shared" ref="W45:W46" si="60">IFERROR(V45/ABS(T45), "-")</f>
        <v>-</v>
      </c>
      <c r="X45" s="187"/>
    </row>
    <row r="46" spans="1:24" s="268" customFormat="1" x14ac:dyDescent="0.2">
      <c r="A46" s="186">
        <v>2600</v>
      </c>
      <c r="B46" s="51" t="s">
        <v>360</v>
      </c>
      <c r="C46" s="54">
        <v>2308208</v>
      </c>
      <c r="D46" s="375" t="e">
        <f>'Naudas plūsma'!D47</f>
        <v>#REF!</v>
      </c>
      <c r="E46" s="54">
        <f>'Naudas plūsma'!E47</f>
        <v>1917192</v>
      </c>
      <c r="F46" s="54">
        <f>'Naudas plūsma'!F47</f>
        <v>1821615</v>
      </c>
      <c r="G46" s="55">
        <f t="shared" si="55"/>
        <v>-95577</v>
      </c>
      <c r="H46" s="56">
        <f t="shared" si="56"/>
        <v>-4.9852596922999884E-2</v>
      </c>
      <c r="I46" s="187"/>
      <c r="J46" s="375" t="e">
        <f>'Naudas plūsma'!J47</f>
        <v>#REF!</v>
      </c>
      <c r="K46" s="54">
        <f>'Naudas plūsma'!K47</f>
        <v>1707565</v>
      </c>
      <c r="L46" s="55" t="e">
        <f t="shared" si="57"/>
        <v>#REF!</v>
      </c>
      <c r="M46" s="56" t="str">
        <f t="shared" si="58"/>
        <v>-</v>
      </c>
      <c r="N46" s="187"/>
      <c r="O46" s="375" t="e">
        <f>'Naudas plūsma'!O47</f>
        <v>#REF!</v>
      </c>
      <c r="P46" s="54">
        <v>1384666</v>
      </c>
      <c r="Q46" s="264" t="e">
        <f t="shared" ref="Q46" si="61">P46-O46</f>
        <v>#REF!</v>
      </c>
      <c r="R46" s="265" t="str">
        <f t="shared" ref="R46" si="62">IFERROR(Q46/ABS(O46), "-")</f>
        <v>-</v>
      </c>
      <c r="S46" s="414" t="s">
        <v>430</v>
      </c>
      <c r="T46" s="54" t="e">
        <f>'Naudas plūsma'!T47</f>
        <v>#REF!</v>
      </c>
      <c r="U46" s="54"/>
      <c r="V46" s="55" t="e">
        <f t="shared" si="59"/>
        <v>#REF!</v>
      </c>
      <c r="W46" s="56" t="str">
        <f t="shared" si="60"/>
        <v>-</v>
      </c>
      <c r="X46" s="187"/>
    </row>
    <row r="47" spans="1:24" s="34" customFormat="1" x14ac:dyDescent="0.2">
      <c r="A47" s="269"/>
      <c r="B47" s="262" t="s">
        <v>361</v>
      </c>
      <c r="C47" s="263">
        <f>C25+C3</f>
        <v>16004250</v>
      </c>
      <c r="D47" s="376" t="e">
        <f>D25+D3</f>
        <v>#REF!</v>
      </c>
      <c r="E47" s="263">
        <f>E25+E3</f>
        <v>15886958</v>
      </c>
      <c r="F47" s="263">
        <f t="shared" ref="F47:I47" si="63">F25+F3</f>
        <v>15724819</v>
      </c>
      <c r="G47" s="263">
        <f t="shared" si="63"/>
        <v>-162139</v>
      </c>
      <c r="H47" s="263">
        <f t="shared" si="63"/>
        <v>1.0274695994931686E-2</v>
      </c>
      <c r="I47" s="263">
        <f t="shared" si="63"/>
        <v>0</v>
      </c>
      <c r="J47" s="376" t="e">
        <f>J25+J3</f>
        <v>#REF!</v>
      </c>
      <c r="K47" s="263">
        <f>K25+K3</f>
        <v>15775621</v>
      </c>
      <c r="L47" s="264" t="e">
        <f t="shared" ref="L47" si="64">K47-J47</f>
        <v>#REF!</v>
      </c>
      <c r="M47" s="265" t="str">
        <f t="shared" ref="M47" si="65">IFERROR(L47/ABS(J47), "-")</f>
        <v>-</v>
      </c>
      <c r="N47" s="266"/>
      <c r="O47" s="376" t="e">
        <f>O25+O3</f>
        <v>#REF!</v>
      </c>
      <c r="P47" s="263">
        <f>P25+P3</f>
        <v>15457130</v>
      </c>
      <c r="Q47" s="264" t="e">
        <f t="shared" ref="Q47" si="66">P47-O47</f>
        <v>#REF!</v>
      </c>
      <c r="R47" s="265" t="str">
        <f t="shared" ref="R47" si="67">IFERROR(Q47/ABS(O47), "-")</f>
        <v>-</v>
      </c>
      <c r="S47" s="266"/>
      <c r="T47" s="263" t="e">
        <f>T25+T3</f>
        <v>#REF!</v>
      </c>
      <c r="U47" s="263">
        <f>U25+U3</f>
        <v>0</v>
      </c>
      <c r="V47" s="264" t="e">
        <f t="shared" ref="V47" si="68">U47-T47</f>
        <v>#REF!</v>
      </c>
      <c r="W47" s="265" t="str">
        <f t="shared" ref="W47" si="69">IFERROR(V47/ABS(T47), "-")</f>
        <v>-</v>
      </c>
      <c r="X47" s="266"/>
    </row>
    <row r="48" spans="1:24" s="34" customFormat="1" ht="12" customHeight="1" x14ac:dyDescent="0.2">
      <c r="A48" s="35"/>
      <c r="B48" s="16"/>
      <c r="C48" s="16"/>
      <c r="D48" s="343"/>
      <c r="E48" s="16"/>
      <c r="F48" s="16"/>
      <c r="G48" s="17"/>
      <c r="H48" s="19"/>
      <c r="I48" s="16"/>
      <c r="J48" s="343"/>
      <c r="K48" s="16"/>
      <c r="L48" s="17"/>
      <c r="M48" s="19"/>
      <c r="N48" s="16"/>
      <c r="O48" s="343"/>
      <c r="P48" s="16"/>
      <c r="Q48" s="17"/>
      <c r="R48" s="19"/>
      <c r="S48" s="16"/>
      <c r="T48" s="16"/>
      <c r="U48" s="16"/>
      <c r="V48" s="17"/>
      <c r="W48" s="19"/>
      <c r="X48" s="16"/>
    </row>
    <row r="49" spans="1:24" s="267" customFormat="1" x14ac:dyDescent="0.2">
      <c r="A49" s="251">
        <v>3000</v>
      </c>
      <c r="B49" s="236" t="s">
        <v>209</v>
      </c>
      <c r="C49" s="252">
        <f>C50+C51+C52+C55</f>
        <v>14014571</v>
      </c>
      <c r="D49" s="372">
        <f>D50+D55+D52+D586</f>
        <v>13606704</v>
      </c>
      <c r="E49" s="252">
        <f>E50+E55+E52+E586</f>
        <v>13827769</v>
      </c>
      <c r="F49" s="252">
        <f>F50+F55+F52+F586</f>
        <v>13784678</v>
      </c>
      <c r="G49" s="253">
        <f>F49-E49</f>
        <v>-43091</v>
      </c>
      <c r="H49" s="254">
        <f>IFERROR(G49/ABS(E49), "-")</f>
        <v>-3.1162655378463439E-3</v>
      </c>
      <c r="I49" s="271"/>
      <c r="J49" s="372">
        <f>J50+J51+J52+J55</f>
        <v>13983090</v>
      </c>
      <c r="K49" s="252">
        <f>K50+K55+K52+K586</f>
        <v>13852627</v>
      </c>
      <c r="L49" s="253">
        <f>K49-J49</f>
        <v>-130463</v>
      </c>
      <c r="M49" s="254">
        <f>IFERROR(L49/ABS(J49), "-")</f>
        <v>-9.3300550879669656E-3</v>
      </c>
      <c r="N49" s="271"/>
      <c r="O49" s="372">
        <f>O50+O51+O52+O55</f>
        <v>14261618</v>
      </c>
      <c r="P49" s="252">
        <f>P50+P55+P52+P586</f>
        <v>13551385</v>
      </c>
      <c r="Q49" s="253">
        <f>P49-O49</f>
        <v>-710233</v>
      </c>
      <c r="R49" s="254">
        <f>IFERROR(Q49/ABS(O49), "-")</f>
        <v>-4.9800310175184895E-2</v>
      </c>
      <c r="S49" s="271"/>
      <c r="T49" s="252">
        <f>T50+T51+T52+T55</f>
        <v>13606704</v>
      </c>
      <c r="U49" s="252">
        <f>U50+U55+U52+U586</f>
        <v>0</v>
      </c>
      <c r="V49" s="253">
        <f>U49-T49</f>
        <v>-13606704</v>
      </c>
      <c r="W49" s="254">
        <f>IFERROR(V49/ABS(T49), "-")</f>
        <v>-1</v>
      </c>
      <c r="X49" s="271"/>
    </row>
    <row r="50" spans="1:24" s="268" customFormat="1" x14ac:dyDescent="0.2">
      <c r="A50" s="36">
        <v>3100</v>
      </c>
      <c r="B50" s="51" t="s">
        <v>210</v>
      </c>
      <c r="C50" s="54">
        <v>12758840</v>
      </c>
      <c r="D50" s="375">
        <v>12758840</v>
      </c>
      <c r="E50" s="54">
        <v>12758840</v>
      </c>
      <c r="F50" s="54">
        <v>12758840</v>
      </c>
      <c r="G50" s="55">
        <f t="shared" ref="G50:G80" si="70">F50-E50</f>
        <v>0</v>
      </c>
      <c r="H50" s="56">
        <f t="shared" ref="H50:H84" si="71">IFERROR(G50/ABS(E50), "-")</f>
        <v>0</v>
      </c>
      <c r="I50" s="39"/>
      <c r="J50" s="375">
        <v>12758840</v>
      </c>
      <c r="K50" s="54">
        <v>12758840</v>
      </c>
      <c r="L50" s="55">
        <f t="shared" ref="L50" si="72">K50-J50</f>
        <v>0</v>
      </c>
      <c r="M50" s="56">
        <f t="shared" ref="M50" si="73">IFERROR(L50/ABS(J50), "-")</f>
        <v>0</v>
      </c>
      <c r="N50" s="39"/>
      <c r="O50" s="375">
        <v>12758840</v>
      </c>
      <c r="P50" s="54">
        <v>12758840</v>
      </c>
      <c r="Q50" s="55">
        <f t="shared" ref="Q50" si="74">P50-O50</f>
        <v>0</v>
      </c>
      <c r="R50" s="56">
        <f t="shared" ref="R50" si="75">IFERROR(Q50/ABS(O50), "-")</f>
        <v>0</v>
      </c>
      <c r="S50" s="39"/>
      <c r="T50" s="54">
        <v>12758840</v>
      </c>
      <c r="U50" s="54"/>
      <c r="V50" s="55">
        <f t="shared" ref="V50" si="76">U50-T50</f>
        <v>-12758840</v>
      </c>
      <c r="W50" s="56">
        <f t="shared" ref="W50" si="77">IFERROR(V50/ABS(T50), "-")</f>
        <v>-1</v>
      </c>
      <c r="X50" s="39"/>
    </row>
    <row r="51" spans="1:24" s="268" customFormat="1" ht="31.5" x14ac:dyDescent="0.2">
      <c r="A51" s="36">
        <v>3200</v>
      </c>
      <c r="B51" s="51" t="s">
        <v>365</v>
      </c>
      <c r="C51" s="54">
        <v>0</v>
      </c>
      <c r="D51" s="375">
        <v>0</v>
      </c>
      <c r="E51" s="54">
        <v>0</v>
      </c>
      <c r="F51" s="54">
        <v>0</v>
      </c>
      <c r="G51" s="55">
        <v>0</v>
      </c>
      <c r="H51" s="56" t="str">
        <f t="shared" si="71"/>
        <v>-</v>
      </c>
      <c r="I51" s="272"/>
      <c r="J51" s="375"/>
      <c r="K51" s="54"/>
      <c r="L51" s="55">
        <f t="shared" ref="L51" si="78">K51-J51</f>
        <v>0</v>
      </c>
      <c r="M51" s="56" t="str">
        <f t="shared" ref="M51" si="79">IFERROR(L51/ABS(J51), "-")</f>
        <v>-</v>
      </c>
      <c r="N51" s="272"/>
      <c r="O51" s="375"/>
      <c r="P51" s="54"/>
      <c r="Q51" s="55">
        <f t="shared" ref="Q51" si="80">P51-O51</f>
        <v>0</v>
      </c>
      <c r="R51" s="56" t="str">
        <f t="shared" ref="R51" si="81">IFERROR(Q51/ABS(O51), "-")</f>
        <v>-</v>
      </c>
      <c r="S51" s="272"/>
      <c r="T51" s="54"/>
      <c r="U51" s="54"/>
      <c r="V51" s="55">
        <f t="shared" ref="V51" si="82">U51-T51</f>
        <v>0</v>
      </c>
      <c r="W51" s="56" t="str">
        <f t="shared" ref="W51" si="83">IFERROR(V51/ABS(T51), "-")</f>
        <v>-</v>
      </c>
      <c r="X51" s="272"/>
    </row>
    <row r="52" spans="1:24" s="268" customFormat="1" x14ac:dyDescent="0.2">
      <c r="A52" s="36">
        <v>3300</v>
      </c>
      <c r="B52" s="273" t="s">
        <v>273</v>
      </c>
      <c r="C52" s="54">
        <f>C53+C54</f>
        <v>9486</v>
      </c>
      <c r="D52" s="375">
        <f t="shared" ref="D52:F52" si="84">D53+D54</f>
        <v>9486</v>
      </c>
      <c r="E52" s="54">
        <f t="shared" si="84"/>
        <v>9486</v>
      </c>
      <c r="F52" s="54">
        <f t="shared" si="84"/>
        <v>9486</v>
      </c>
      <c r="G52" s="55">
        <f t="shared" ref="G52:G54" si="85">F52-E52</f>
        <v>0</v>
      </c>
      <c r="H52" s="56">
        <f t="shared" ref="H52:H54" si="86">IFERROR(G52/ABS(E52), "-")</f>
        <v>0</v>
      </c>
      <c r="I52" s="451"/>
      <c r="J52" s="375">
        <f>J53+J54</f>
        <v>9486</v>
      </c>
      <c r="K52" s="54">
        <f t="shared" ref="K52" si="87">K53+K54</f>
        <v>9486</v>
      </c>
      <c r="L52" s="55">
        <f t="shared" ref="L52:L62" si="88">K52-J52</f>
        <v>0</v>
      </c>
      <c r="M52" s="56">
        <f t="shared" ref="M52:M62" si="89">IFERROR(L52/ABS(J52), "-")</f>
        <v>0</v>
      </c>
      <c r="N52" s="451"/>
      <c r="O52" s="375">
        <f>O53+O54</f>
        <v>9486</v>
      </c>
      <c r="P52" s="54">
        <f t="shared" ref="P52" si="90">P53+P54</f>
        <v>202458</v>
      </c>
      <c r="Q52" s="55">
        <f t="shared" ref="Q52:Q62" si="91">P52-O52</f>
        <v>192972</v>
      </c>
      <c r="R52" s="56">
        <f t="shared" ref="R52:R62" si="92">IFERROR(Q52/ABS(O52), "-")</f>
        <v>20.34282099936749</v>
      </c>
      <c r="S52" s="448" t="s">
        <v>432</v>
      </c>
      <c r="T52" s="54">
        <f>T53+T54</f>
        <v>9486</v>
      </c>
      <c r="U52" s="54">
        <f t="shared" ref="U52" si="93">U53+U54</f>
        <v>0</v>
      </c>
      <c r="V52" s="55">
        <f t="shared" ref="V52:V62" si="94">U52-T52</f>
        <v>-9486</v>
      </c>
      <c r="W52" s="56">
        <f t="shared" ref="W52:W62" si="95">IFERROR(V52/ABS(T52), "-")</f>
        <v>-1</v>
      </c>
      <c r="X52" s="451"/>
    </row>
    <row r="53" spans="1:24" x14ac:dyDescent="0.2">
      <c r="A53" s="222">
        <v>3320</v>
      </c>
      <c r="B53" s="44" t="s">
        <v>363</v>
      </c>
      <c r="C53" s="41"/>
      <c r="D53" s="377"/>
      <c r="E53" s="41"/>
      <c r="F53" s="41"/>
      <c r="G53" s="42">
        <f t="shared" si="85"/>
        <v>0</v>
      </c>
      <c r="H53" s="23" t="str">
        <f t="shared" si="86"/>
        <v>-</v>
      </c>
      <c r="I53" s="452"/>
      <c r="J53" s="377"/>
      <c r="K53" s="41"/>
      <c r="L53" s="42">
        <f t="shared" si="88"/>
        <v>0</v>
      </c>
      <c r="M53" s="23" t="str">
        <f t="shared" si="89"/>
        <v>-</v>
      </c>
      <c r="N53" s="452"/>
      <c r="O53" s="377"/>
      <c r="P53" s="41"/>
      <c r="Q53" s="42">
        <f t="shared" si="91"/>
        <v>0</v>
      </c>
      <c r="R53" s="23" t="str">
        <f t="shared" si="92"/>
        <v>-</v>
      </c>
      <c r="S53" s="449"/>
      <c r="T53" s="41"/>
      <c r="U53" s="41"/>
      <c r="V53" s="42">
        <f t="shared" si="94"/>
        <v>0</v>
      </c>
      <c r="W53" s="23" t="str">
        <f t="shared" si="95"/>
        <v>-</v>
      </c>
      <c r="X53" s="452"/>
    </row>
    <row r="54" spans="1:24" x14ac:dyDescent="0.2">
      <c r="A54" s="222">
        <v>3360</v>
      </c>
      <c r="B54" s="44" t="s">
        <v>364</v>
      </c>
      <c r="C54" s="41">
        <v>9486</v>
      </c>
      <c r="D54" s="377">
        <v>9486</v>
      </c>
      <c r="E54" s="41">
        <v>9486</v>
      </c>
      <c r="F54" s="41">
        <v>9486</v>
      </c>
      <c r="G54" s="42">
        <f t="shared" si="85"/>
        <v>0</v>
      </c>
      <c r="H54" s="23">
        <f t="shared" si="86"/>
        <v>0</v>
      </c>
      <c r="I54" s="452"/>
      <c r="J54" s="377">
        <v>9486</v>
      </c>
      <c r="K54" s="41">
        <v>9486</v>
      </c>
      <c r="L54" s="42">
        <f t="shared" si="88"/>
        <v>0</v>
      </c>
      <c r="M54" s="23">
        <f t="shared" si="89"/>
        <v>0</v>
      </c>
      <c r="N54" s="452"/>
      <c r="O54" s="377">
        <v>9486</v>
      </c>
      <c r="P54" s="41">
        <v>202458</v>
      </c>
      <c r="Q54" s="42">
        <f t="shared" si="91"/>
        <v>192972</v>
      </c>
      <c r="R54" s="23">
        <f t="shared" si="92"/>
        <v>20.34282099936749</v>
      </c>
      <c r="S54" s="449"/>
      <c r="T54" s="41">
        <v>9486</v>
      </c>
      <c r="U54" s="41"/>
      <c r="V54" s="42">
        <f t="shared" si="94"/>
        <v>-9486</v>
      </c>
      <c r="W54" s="23">
        <f t="shared" si="95"/>
        <v>-1</v>
      </c>
      <c r="X54" s="452"/>
    </row>
    <row r="55" spans="1:24" s="34" customFormat="1" x14ac:dyDescent="0.2">
      <c r="A55" s="36">
        <v>3500</v>
      </c>
      <c r="B55" s="51" t="s">
        <v>211</v>
      </c>
      <c r="C55" s="37">
        <f>C56+C57</f>
        <v>1246245</v>
      </c>
      <c r="D55" s="373">
        <f t="shared" ref="D55:F55" si="96">D56+D57</f>
        <v>838378</v>
      </c>
      <c r="E55" s="37">
        <f>E56+E57</f>
        <v>1059443</v>
      </c>
      <c r="F55" s="37">
        <f t="shared" si="96"/>
        <v>1016352</v>
      </c>
      <c r="G55" s="52">
        <f t="shared" si="70"/>
        <v>-43091</v>
      </c>
      <c r="H55" s="53">
        <f t="shared" si="71"/>
        <v>-4.0673259439158123E-2</v>
      </c>
      <c r="I55" s="454"/>
      <c r="J55" s="382">
        <f t="shared" ref="J55:K55" si="97">J56+J57</f>
        <v>1214764</v>
      </c>
      <c r="K55" s="50">
        <f t="shared" si="97"/>
        <v>1084301</v>
      </c>
      <c r="L55" s="52">
        <f t="shared" si="88"/>
        <v>-130463</v>
      </c>
      <c r="M55" s="53">
        <f t="shared" si="89"/>
        <v>-0.1073978155427721</v>
      </c>
      <c r="N55" s="454"/>
      <c r="O55" s="382">
        <f t="shared" ref="O55:P55" si="98">O56+O57</f>
        <v>1493292</v>
      </c>
      <c r="P55" s="50">
        <f t="shared" si="98"/>
        <v>590087</v>
      </c>
      <c r="Q55" s="52">
        <f t="shared" si="91"/>
        <v>-903205</v>
      </c>
      <c r="R55" s="53">
        <f t="shared" si="92"/>
        <v>-0.6048415179348714</v>
      </c>
      <c r="S55" s="448" t="s">
        <v>433</v>
      </c>
      <c r="T55" s="50">
        <f t="shared" ref="T55:U55" si="99">T56+T57</f>
        <v>838378</v>
      </c>
      <c r="U55" s="50">
        <f t="shared" si="99"/>
        <v>0</v>
      </c>
      <c r="V55" s="52">
        <f t="shared" si="94"/>
        <v>-838378</v>
      </c>
      <c r="W55" s="53">
        <f t="shared" si="95"/>
        <v>-1</v>
      </c>
      <c r="X55" s="454"/>
    </row>
    <row r="56" spans="1:24" ht="31.5" x14ac:dyDescent="0.2">
      <c r="A56" s="222">
        <v>3510</v>
      </c>
      <c r="B56" s="40" t="s">
        <v>274</v>
      </c>
      <c r="C56" s="41">
        <v>710213</v>
      </c>
      <c r="D56" s="377">
        <f>C56+C57</f>
        <v>1246245</v>
      </c>
      <c r="E56" s="41">
        <f>D56</f>
        <v>1246245</v>
      </c>
      <c r="F56" s="41">
        <v>1246245</v>
      </c>
      <c r="G56" s="42">
        <f t="shared" si="70"/>
        <v>0</v>
      </c>
      <c r="H56" s="23">
        <f t="shared" si="71"/>
        <v>0</v>
      </c>
      <c r="I56" s="455"/>
      <c r="J56" s="377">
        <f>D56</f>
        <v>1246245</v>
      </c>
      <c r="K56" s="41">
        <v>1246245</v>
      </c>
      <c r="L56" s="42">
        <f t="shared" si="88"/>
        <v>0</v>
      </c>
      <c r="M56" s="23">
        <f t="shared" si="89"/>
        <v>0</v>
      </c>
      <c r="N56" s="455"/>
      <c r="O56" s="377">
        <f>D56</f>
        <v>1246245</v>
      </c>
      <c r="P56" s="41">
        <v>710213</v>
      </c>
      <c r="Q56" s="42">
        <f t="shared" si="91"/>
        <v>-536032</v>
      </c>
      <c r="R56" s="23">
        <f t="shared" si="92"/>
        <v>-0.43011767349116747</v>
      </c>
      <c r="S56" s="449"/>
      <c r="T56" s="41">
        <f>D56</f>
        <v>1246245</v>
      </c>
      <c r="U56" s="41"/>
      <c r="V56" s="42">
        <f t="shared" si="94"/>
        <v>-1246245</v>
      </c>
      <c r="W56" s="23">
        <f t="shared" si="95"/>
        <v>-1</v>
      </c>
      <c r="X56" s="455"/>
    </row>
    <row r="57" spans="1:24" x14ac:dyDescent="0.2">
      <c r="A57" s="222">
        <v>3520</v>
      </c>
      <c r="B57" s="40" t="s">
        <v>275</v>
      </c>
      <c r="C57" s="41">
        <v>536032</v>
      </c>
      <c r="D57" s="377">
        <f>'PZ Aprēķins'!D20</f>
        <v>-407867</v>
      </c>
      <c r="E57" s="41">
        <f>'PZ Aprēķins'!E20</f>
        <v>-186802</v>
      </c>
      <c r="F57" s="41">
        <f>'PZ Aprēķins'!F20</f>
        <v>-229893</v>
      </c>
      <c r="G57" s="42">
        <f t="shared" si="70"/>
        <v>-43091</v>
      </c>
      <c r="H57" s="23">
        <f t="shared" si="71"/>
        <v>-0.23067740174088072</v>
      </c>
      <c r="I57" s="456"/>
      <c r="J57" s="377">
        <f>'PZ Aprēķins'!J20</f>
        <v>-31481</v>
      </c>
      <c r="K57" s="41">
        <f>'PZ Aprēķins'!K20</f>
        <v>-161944</v>
      </c>
      <c r="L57" s="42">
        <f t="shared" si="88"/>
        <v>-130463</v>
      </c>
      <c r="M57" s="23">
        <f t="shared" si="89"/>
        <v>-4.1441822051396082</v>
      </c>
      <c r="N57" s="456"/>
      <c r="O57" s="377">
        <f>'PZ Aprēķins'!O15</f>
        <v>247047</v>
      </c>
      <c r="P57" s="41">
        <v>-120126</v>
      </c>
      <c r="Q57" s="42">
        <f t="shared" si="91"/>
        <v>-367173</v>
      </c>
      <c r="R57" s="23">
        <f t="shared" si="92"/>
        <v>-1.4862475561330435</v>
      </c>
      <c r="S57" s="450"/>
      <c r="T57" s="41">
        <f>'PZ Aprēķins'!T20</f>
        <v>-407867</v>
      </c>
      <c r="U57" s="41"/>
      <c r="V57" s="42">
        <f t="shared" si="94"/>
        <v>407867</v>
      </c>
      <c r="W57" s="23">
        <f t="shared" si="95"/>
        <v>1</v>
      </c>
      <c r="X57" s="456"/>
    </row>
    <row r="58" spans="1:24" x14ac:dyDescent="0.2">
      <c r="A58" s="251">
        <v>4000</v>
      </c>
      <c r="B58" s="236" t="s">
        <v>212</v>
      </c>
      <c r="C58" s="274">
        <v>0</v>
      </c>
      <c r="D58" s="378">
        <v>0</v>
      </c>
      <c r="E58" s="274">
        <v>0</v>
      </c>
      <c r="F58" s="274">
        <v>0</v>
      </c>
      <c r="G58" s="275">
        <f t="shared" si="70"/>
        <v>0</v>
      </c>
      <c r="H58" s="276" t="str">
        <f t="shared" si="71"/>
        <v>-</v>
      </c>
      <c r="I58" s="277"/>
      <c r="J58" s="378">
        <v>0</v>
      </c>
      <c r="K58" s="274">
        <v>0</v>
      </c>
      <c r="L58" s="275">
        <v>0</v>
      </c>
      <c r="M58" s="276" t="str">
        <f t="shared" si="89"/>
        <v>-</v>
      </c>
      <c r="N58" s="277"/>
      <c r="O58" s="378">
        <v>0</v>
      </c>
      <c r="P58" s="274">
        <v>0</v>
      </c>
      <c r="Q58" s="275">
        <v>0</v>
      </c>
      <c r="R58" s="276" t="str">
        <f t="shared" si="92"/>
        <v>-</v>
      </c>
      <c r="S58" s="277"/>
      <c r="T58" s="274">
        <v>0</v>
      </c>
      <c r="U58" s="274">
        <v>0</v>
      </c>
      <c r="V58" s="275">
        <v>0</v>
      </c>
      <c r="W58" s="276" t="str">
        <f t="shared" si="95"/>
        <v>-</v>
      </c>
      <c r="X58" s="277"/>
    </row>
    <row r="59" spans="1:24" s="34" customFormat="1" x14ac:dyDescent="0.2">
      <c r="A59" s="251">
        <v>5000</v>
      </c>
      <c r="B59" s="236" t="s">
        <v>213</v>
      </c>
      <c r="C59" s="252">
        <f>C60+C70</f>
        <v>1989679</v>
      </c>
      <c r="D59" s="372">
        <f>D60+D70</f>
        <v>2026131</v>
      </c>
      <c r="E59" s="252">
        <f>E60+E70</f>
        <v>2059189</v>
      </c>
      <c r="F59" s="252">
        <f>F60+F70</f>
        <v>1940141</v>
      </c>
      <c r="G59" s="253">
        <f t="shared" si="70"/>
        <v>-119048</v>
      </c>
      <c r="H59" s="254">
        <f t="shared" si="71"/>
        <v>-5.7813051643146887E-2</v>
      </c>
      <c r="I59" s="255"/>
      <c r="J59" s="372">
        <f>J60+J70</f>
        <v>1994378</v>
      </c>
      <c r="K59" s="252">
        <f>K60+K70</f>
        <v>1922994</v>
      </c>
      <c r="L59" s="253">
        <f t="shared" si="88"/>
        <v>-71384</v>
      </c>
      <c r="M59" s="254">
        <f t="shared" si="89"/>
        <v>-3.5792613035242067E-2</v>
      </c>
      <c r="N59" s="255"/>
      <c r="O59" s="372">
        <f>O60+O70</f>
        <v>1934316</v>
      </c>
      <c r="P59" s="252">
        <f>P60+P70</f>
        <v>1905745</v>
      </c>
      <c r="Q59" s="253">
        <f t="shared" si="91"/>
        <v>-28571</v>
      </c>
      <c r="R59" s="254">
        <f t="shared" si="92"/>
        <v>-1.4770595910905975E-2</v>
      </c>
      <c r="S59" s="255"/>
      <c r="T59" s="252">
        <f>T60+T70</f>
        <v>2026131</v>
      </c>
      <c r="U59" s="252">
        <f>U60+U70</f>
        <v>0</v>
      </c>
      <c r="V59" s="253">
        <f t="shared" si="94"/>
        <v>-2026131</v>
      </c>
      <c r="W59" s="254">
        <f t="shared" si="95"/>
        <v>-1</v>
      </c>
      <c r="X59" s="255"/>
    </row>
    <row r="60" spans="1:24" s="34" customFormat="1" x14ac:dyDescent="0.2">
      <c r="A60" s="36">
        <v>5100</v>
      </c>
      <c r="B60" s="51" t="s">
        <v>214</v>
      </c>
      <c r="C60" s="37">
        <f>SUM(C61:C69)</f>
        <v>577524</v>
      </c>
      <c r="D60" s="373">
        <f>SUM(D61:D69)</f>
        <v>559777</v>
      </c>
      <c r="E60" s="37">
        <f>SUM(E61:E69)</f>
        <v>577524</v>
      </c>
      <c r="F60" s="37">
        <f>SUM(F61:F69)</f>
        <v>577525</v>
      </c>
      <c r="G60" s="38">
        <f t="shared" si="70"/>
        <v>1</v>
      </c>
      <c r="H60" s="29">
        <f t="shared" si="71"/>
        <v>1.7315297719228985E-6</v>
      </c>
      <c r="I60" s="451"/>
      <c r="J60" s="373">
        <f>SUM(J61:J69)</f>
        <v>577524</v>
      </c>
      <c r="K60" s="37">
        <f>SUM(K61:K69)</f>
        <v>577524</v>
      </c>
      <c r="L60" s="38">
        <f t="shared" si="88"/>
        <v>0</v>
      </c>
      <c r="M60" s="29">
        <f t="shared" si="89"/>
        <v>0</v>
      </c>
      <c r="N60" s="451"/>
      <c r="O60" s="373">
        <f>SUM(O61:O69)</f>
        <v>577524</v>
      </c>
      <c r="P60" s="37">
        <f>SUM(P61:P69)</f>
        <v>577524</v>
      </c>
      <c r="Q60" s="38">
        <f t="shared" si="91"/>
        <v>0</v>
      </c>
      <c r="R60" s="29">
        <f t="shared" si="92"/>
        <v>0</v>
      </c>
      <c r="S60" s="451"/>
      <c r="T60" s="37">
        <f>SUM(T61:T69)</f>
        <v>559777</v>
      </c>
      <c r="U60" s="37">
        <f>SUM(U61:U69)</f>
        <v>0</v>
      </c>
      <c r="V60" s="38">
        <f t="shared" si="94"/>
        <v>-559777</v>
      </c>
      <c r="W60" s="29">
        <f t="shared" si="95"/>
        <v>-1</v>
      </c>
      <c r="X60" s="451"/>
    </row>
    <row r="61" spans="1:24" x14ac:dyDescent="0.2">
      <c r="A61" s="222">
        <v>5110</v>
      </c>
      <c r="B61" s="40" t="s">
        <v>215</v>
      </c>
      <c r="C61" s="45"/>
      <c r="D61" s="374"/>
      <c r="E61" s="45"/>
      <c r="F61" s="45"/>
      <c r="G61" s="46">
        <f t="shared" si="70"/>
        <v>0</v>
      </c>
      <c r="H61" s="47" t="str">
        <f t="shared" si="71"/>
        <v>-</v>
      </c>
      <c r="I61" s="452"/>
      <c r="J61" s="374"/>
      <c r="K61" s="45"/>
      <c r="L61" s="46">
        <f t="shared" si="88"/>
        <v>0</v>
      </c>
      <c r="M61" s="47" t="str">
        <f t="shared" si="89"/>
        <v>-</v>
      </c>
      <c r="N61" s="452"/>
      <c r="O61" s="374"/>
      <c r="P61" s="45"/>
      <c r="Q61" s="46">
        <f t="shared" si="91"/>
        <v>0</v>
      </c>
      <c r="R61" s="47" t="str">
        <f t="shared" si="92"/>
        <v>-</v>
      </c>
      <c r="S61" s="452"/>
      <c r="T61" s="45"/>
      <c r="U61" s="45"/>
      <c r="V61" s="46">
        <f t="shared" si="94"/>
        <v>0</v>
      </c>
      <c r="W61" s="47" t="str">
        <f t="shared" si="95"/>
        <v>-</v>
      </c>
      <c r="X61" s="452"/>
    </row>
    <row r="62" spans="1:24" x14ac:dyDescent="0.2">
      <c r="A62" s="222">
        <v>5120</v>
      </c>
      <c r="B62" s="40" t="s">
        <v>216</v>
      </c>
      <c r="C62" s="45"/>
      <c r="D62" s="374"/>
      <c r="E62" s="45"/>
      <c r="F62" s="45"/>
      <c r="G62" s="46">
        <f t="shared" si="70"/>
        <v>0</v>
      </c>
      <c r="H62" s="47" t="str">
        <f t="shared" si="71"/>
        <v>-</v>
      </c>
      <c r="I62" s="452"/>
      <c r="J62" s="374"/>
      <c r="K62" s="45"/>
      <c r="L62" s="46">
        <f t="shared" si="88"/>
        <v>0</v>
      </c>
      <c r="M62" s="47" t="str">
        <f t="shared" si="89"/>
        <v>-</v>
      </c>
      <c r="N62" s="452"/>
      <c r="O62" s="374"/>
      <c r="P62" s="45"/>
      <c r="Q62" s="46">
        <f t="shared" si="91"/>
        <v>0</v>
      </c>
      <c r="R62" s="47" t="str">
        <f t="shared" si="92"/>
        <v>-</v>
      </c>
      <c r="S62" s="452"/>
      <c r="T62" s="45"/>
      <c r="U62" s="45"/>
      <c r="V62" s="46">
        <f t="shared" si="94"/>
        <v>0</v>
      </c>
      <c r="W62" s="47" t="str">
        <f t="shared" si="95"/>
        <v>-</v>
      </c>
      <c r="X62" s="452"/>
    </row>
    <row r="63" spans="1:24" x14ac:dyDescent="0.2">
      <c r="A63" s="222">
        <v>5130</v>
      </c>
      <c r="B63" s="40" t="s">
        <v>219</v>
      </c>
      <c r="C63" s="45"/>
      <c r="D63" s="374"/>
      <c r="E63" s="45"/>
      <c r="F63" s="45"/>
      <c r="G63" s="46">
        <f t="shared" ref="G63:G69" si="100">F63-E63</f>
        <v>0</v>
      </c>
      <c r="H63" s="47" t="str">
        <f t="shared" ref="H63:H69" si="101">IFERROR(G63/ABS(E63), "-")</f>
        <v>-</v>
      </c>
      <c r="I63" s="452"/>
      <c r="J63" s="374"/>
      <c r="K63" s="45"/>
      <c r="L63" s="46">
        <f t="shared" ref="L63:L69" si="102">K63-J63</f>
        <v>0</v>
      </c>
      <c r="M63" s="47" t="str">
        <f t="shared" ref="M63:M69" si="103">IFERROR(L63/ABS(J63), "-")</f>
        <v>-</v>
      </c>
      <c r="N63" s="452"/>
      <c r="O63" s="374"/>
      <c r="P63" s="45"/>
      <c r="Q63" s="46">
        <f t="shared" ref="Q63:Q69" si="104">P63-O63</f>
        <v>0</v>
      </c>
      <c r="R63" s="47" t="str">
        <f t="shared" ref="R63:R69" si="105">IFERROR(Q63/ABS(O63), "-")</f>
        <v>-</v>
      </c>
      <c r="S63" s="452"/>
      <c r="T63" s="45"/>
      <c r="U63" s="45"/>
      <c r="V63" s="46">
        <f t="shared" ref="V63:V69" si="106">U63-T63</f>
        <v>0</v>
      </c>
      <c r="W63" s="47" t="str">
        <f t="shared" ref="W63:W69" si="107">IFERROR(V63/ABS(T63), "-")</f>
        <v>-</v>
      </c>
      <c r="X63" s="452"/>
    </row>
    <row r="64" spans="1:24" x14ac:dyDescent="0.2">
      <c r="A64" s="222">
        <v>5140</v>
      </c>
      <c r="B64" s="40" t="s">
        <v>220</v>
      </c>
      <c r="C64" s="45"/>
      <c r="D64" s="374"/>
      <c r="E64" s="45"/>
      <c r="F64" s="45"/>
      <c r="G64" s="46">
        <f t="shared" si="100"/>
        <v>0</v>
      </c>
      <c r="H64" s="47" t="str">
        <f t="shared" si="101"/>
        <v>-</v>
      </c>
      <c r="I64" s="452"/>
      <c r="J64" s="374"/>
      <c r="K64" s="45"/>
      <c r="L64" s="46">
        <f t="shared" si="102"/>
        <v>0</v>
      </c>
      <c r="M64" s="47" t="str">
        <f t="shared" si="103"/>
        <v>-</v>
      </c>
      <c r="N64" s="452"/>
      <c r="O64" s="374"/>
      <c r="P64" s="45"/>
      <c r="Q64" s="46">
        <f t="shared" si="104"/>
        <v>0</v>
      </c>
      <c r="R64" s="47" t="str">
        <f t="shared" si="105"/>
        <v>-</v>
      </c>
      <c r="S64" s="452"/>
      <c r="T64" s="45"/>
      <c r="U64" s="45"/>
      <c r="V64" s="46">
        <f t="shared" si="106"/>
        <v>0</v>
      </c>
      <c r="W64" s="47" t="str">
        <f t="shared" si="107"/>
        <v>-</v>
      </c>
      <c r="X64" s="452"/>
    </row>
    <row r="65" spans="1:24" ht="31.5" x14ac:dyDescent="0.2">
      <c r="A65" s="222">
        <v>5150</v>
      </c>
      <c r="B65" s="40" t="s">
        <v>276</v>
      </c>
      <c r="C65" s="45"/>
      <c r="D65" s="374"/>
      <c r="E65" s="45"/>
      <c r="F65" s="45"/>
      <c r="G65" s="46">
        <f t="shared" si="100"/>
        <v>0</v>
      </c>
      <c r="H65" s="47" t="str">
        <f t="shared" si="101"/>
        <v>-</v>
      </c>
      <c r="I65" s="452"/>
      <c r="J65" s="374"/>
      <c r="K65" s="45"/>
      <c r="L65" s="46">
        <f t="shared" si="102"/>
        <v>0</v>
      </c>
      <c r="M65" s="47" t="str">
        <f t="shared" si="103"/>
        <v>-</v>
      </c>
      <c r="N65" s="452"/>
      <c r="O65" s="374"/>
      <c r="P65" s="45"/>
      <c r="Q65" s="46">
        <f t="shared" si="104"/>
        <v>0</v>
      </c>
      <c r="R65" s="47" t="str">
        <f t="shared" si="105"/>
        <v>-</v>
      </c>
      <c r="S65" s="452"/>
      <c r="T65" s="45"/>
      <c r="U65" s="45"/>
      <c r="V65" s="46">
        <f t="shared" si="106"/>
        <v>0</v>
      </c>
      <c r="W65" s="47" t="str">
        <f t="shared" si="107"/>
        <v>-</v>
      </c>
      <c r="X65" s="452"/>
    </row>
    <row r="66" spans="1:24" x14ac:dyDescent="0.2">
      <c r="A66" s="222">
        <v>5160</v>
      </c>
      <c r="B66" s="40" t="s">
        <v>221</v>
      </c>
      <c r="C66" s="45">
        <v>565</v>
      </c>
      <c r="D66" s="374">
        <v>565</v>
      </c>
      <c r="E66" s="45">
        <v>565</v>
      </c>
      <c r="F66" s="45">
        <v>565</v>
      </c>
      <c r="G66" s="46">
        <f t="shared" si="100"/>
        <v>0</v>
      </c>
      <c r="H66" s="47">
        <f t="shared" si="101"/>
        <v>0</v>
      </c>
      <c r="I66" s="452"/>
      <c r="J66" s="374">
        <v>565</v>
      </c>
      <c r="K66" s="45">
        <v>565</v>
      </c>
      <c r="L66" s="46">
        <f t="shared" si="102"/>
        <v>0</v>
      </c>
      <c r="M66" s="47">
        <f t="shared" si="103"/>
        <v>0</v>
      </c>
      <c r="N66" s="452"/>
      <c r="O66" s="374">
        <v>565</v>
      </c>
      <c r="P66" s="45">
        <v>565</v>
      </c>
      <c r="Q66" s="46">
        <f t="shared" si="104"/>
        <v>0</v>
      </c>
      <c r="R66" s="47">
        <f t="shared" si="105"/>
        <v>0</v>
      </c>
      <c r="S66" s="452"/>
      <c r="T66" s="45">
        <v>565</v>
      </c>
      <c r="U66" s="45"/>
      <c r="V66" s="46">
        <f t="shared" si="106"/>
        <v>-565</v>
      </c>
      <c r="W66" s="47">
        <f t="shared" si="107"/>
        <v>-1</v>
      </c>
      <c r="X66" s="452"/>
    </row>
    <row r="67" spans="1:24" x14ac:dyDescent="0.2">
      <c r="A67" s="222">
        <v>5170</v>
      </c>
      <c r="B67" s="40" t="s">
        <v>217</v>
      </c>
      <c r="C67" s="45">
        <v>576959</v>
      </c>
      <c r="D67" s="374">
        <f>C67-17747</f>
        <v>559212</v>
      </c>
      <c r="E67" s="45">
        <v>576959</v>
      </c>
      <c r="F67" s="45">
        <v>576960</v>
      </c>
      <c r="G67" s="46">
        <f t="shared" si="100"/>
        <v>1</v>
      </c>
      <c r="H67" s="47">
        <f t="shared" si="101"/>
        <v>1.7332254111643982E-6</v>
      </c>
      <c r="I67" s="452"/>
      <c r="J67" s="374">
        <v>576959</v>
      </c>
      <c r="K67" s="45">
        <v>576959</v>
      </c>
      <c r="L67" s="46">
        <f t="shared" si="102"/>
        <v>0</v>
      </c>
      <c r="M67" s="47">
        <f t="shared" si="103"/>
        <v>0</v>
      </c>
      <c r="N67" s="452"/>
      <c r="O67" s="374">
        <v>576959</v>
      </c>
      <c r="P67" s="45">
        <v>576959</v>
      </c>
      <c r="Q67" s="46">
        <f t="shared" si="104"/>
        <v>0</v>
      </c>
      <c r="R67" s="47">
        <f t="shared" si="105"/>
        <v>0</v>
      </c>
      <c r="S67" s="452"/>
      <c r="T67" s="45">
        <f>D67</f>
        <v>559212</v>
      </c>
      <c r="U67" s="45"/>
      <c r="V67" s="46">
        <f t="shared" si="106"/>
        <v>-559212</v>
      </c>
      <c r="W67" s="47">
        <f t="shared" si="107"/>
        <v>-1</v>
      </c>
      <c r="X67" s="452"/>
    </row>
    <row r="68" spans="1:24" x14ac:dyDescent="0.2">
      <c r="A68" s="222">
        <v>5180</v>
      </c>
      <c r="B68" s="40" t="s">
        <v>222</v>
      </c>
      <c r="C68" s="45"/>
      <c r="D68" s="374"/>
      <c r="E68" s="45"/>
      <c r="F68" s="45"/>
      <c r="G68" s="46">
        <f t="shared" si="100"/>
        <v>0</v>
      </c>
      <c r="H68" s="47" t="str">
        <f t="shared" si="101"/>
        <v>-</v>
      </c>
      <c r="I68" s="452"/>
      <c r="J68" s="374"/>
      <c r="K68" s="45"/>
      <c r="L68" s="46">
        <f t="shared" si="102"/>
        <v>0</v>
      </c>
      <c r="M68" s="47" t="str">
        <f t="shared" si="103"/>
        <v>-</v>
      </c>
      <c r="N68" s="452"/>
      <c r="O68" s="374"/>
      <c r="P68" s="45"/>
      <c r="Q68" s="46">
        <f t="shared" si="104"/>
        <v>0</v>
      </c>
      <c r="R68" s="47" t="str">
        <f t="shared" si="105"/>
        <v>-</v>
      </c>
      <c r="S68" s="452"/>
      <c r="T68" s="45"/>
      <c r="U68" s="45"/>
      <c r="V68" s="46">
        <f t="shared" si="106"/>
        <v>0</v>
      </c>
      <c r="W68" s="47" t="str">
        <f t="shared" si="107"/>
        <v>-</v>
      </c>
      <c r="X68" s="452"/>
    </row>
    <row r="69" spans="1:24" x14ac:dyDescent="0.2">
      <c r="A69" s="222">
        <v>5190</v>
      </c>
      <c r="B69" s="40" t="s">
        <v>277</v>
      </c>
      <c r="C69" s="45"/>
      <c r="D69" s="374"/>
      <c r="E69" s="45"/>
      <c r="F69" s="45"/>
      <c r="G69" s="46">
        <f t="shared" si="100"/>
        <v>0</v>
      </c>
      <c r="H69" s="47" t="str">
        <f t="shared" si="101"/>
        <v>-</v>
      </c>
      <c r="I69" s="453"/>
      <c r="J69" s="374"/>
      <c r="K69" s="45"/>
      <c r="L69" s="46">
        <f t="shared" si="102"/>
        <v>0</v>
      </c>
      <c r="M69" s="47" t="str">
        <f t="shared" si="103"/>
        <v>-</v>
      </c>
      <c r="N69" s="453"/>
      <c r="O69" s="374"/>
      <c r="P69" s="45"/>
      <c r="Q69" s="46">
        <f t="shared" si="104"/>
        <v>0</v>
      </c>
      <c r="R69" s="47" t="str">
        <f t="shared" si="105"/>
        <v>-</v>
      </c>
      <c r="S69" s="453"/>
      <c r="T69" s="45"/>
      <c r="U69" s="45"/>
      <c r="V69" s="46">
        <f t="shared" si="106"/>
        <v>0</v>
      </c>
      <c r="W69" s="47" t="str">
        <f t="shared" si="107"/>
        <v>-</v>
      </c>
      <c r="X69" s="453"/>
    </row>
    <row r="70" spans="1:24" s="34" customFormat="1" x14ac:dyDescent="0.2">
      <c r="A70" s="36">
        <v>5200</v>
      </c>
      <c r="B70" s="51" t="s">
        <v>218</v>
      </c>
      <c r="C70" s="37">
        <f>SUM(C71:C79)</f>
        <v>1412155</v>
      </c>
      <c r="D70" s="373">
        <f>SUM(D71:D79)</f>
        <v>1466354</v>
      </c>
      <c r="E70" s="37">
        <f>SUM(E71:E79)</f>
        <v>1481665</v>
      </c>
      <c r="F70" s="37">
        <f>SUM(F71:F79)</f>
        <v>1362616</v>
      </c>
      <c r="G70" s="38">
        <f t="shared" si="70"/>
        <v>-119049</v>
      </c>
      <c r="H70" s="29">
        <f t="shared" si="71"/>
        <v>-8.0348121876402556E-2</v>
      </c>
      <c r="I70" s="451"/>
      <c r="J70" s="373">
        <f>SUM(J71:J79)</f>
        <v>1416854</v>
      </c>
      <c r="K70" s="37">
        <f>SUM(K71:K79)</f>
        <v>1345470</v>
      </c>
      <c r="L70" s="38">
        <f t="shared" ref="L70:L80" si="108">K70-J70</f>
        <v>-71384</v>
      </c>
      <c r="M70" s="29">
        <f t="shared" ref="M70:M80" si="109">IFERROR(L70/ABS(J70), "-")</f>
        <v>-5.0382043597999512E-2</v>
      </c>
      <c r="N70" s="451"/>
      <c r="O70" s="373">
        <f>SUM(O71:O79)</f>
        <v>1356792</v>
      </c>
      <c r="P70" s="37">
        <f>SUM(P71:P79)</f>
        <v>1328221</v>
      </c>
      <c r="Q70" s="38">
        <f t="shared" ref="Q70:Q80" si="110">P70-O70</f>
        <v>-28571</v>
      </c>
      <c r="R70" s="29">
        <f t="shared" ref="R70:R80" si="111">IFERROR(Q70/ABS(O70), "-")</f>
        <v>-2.1057759774526973E-2</v>
      </c>
      <c r="S70" s="451"/>
      <c r="T70" s="37">
        <f>SUM(T71:T79)</f>
        <v>1466354</v>
      </c>
      <c r="U70" s="37">
        <f>SUM(U71:U79)</f>
        <v>0</v>
      </c>
      <c r="V70" s="38">
        <f t="shared" ref="V70:V80" si="112">U70-T70</f>
        <v>-1466354</v>
      </c>
      <c r="W70" s="29">
        <f t="shared" ref="W70:W80" si="113">IFERROR(V70/ABS(T70), "-")</f>
        <v>-1</v>
      </c>
      <c r="X70" s="451"/>
    </row>
    <row r="71" spans="1:24" x14ac:dyDescent="0.2">
      <c r="A71" s="222">
        <v>5210</v>
      </c>
      <c r="B71" s="40" t="s">
        <v>215</v>
      </c>
      <c r="C71" s="41"/>
      <c r="D71" s="377"/>
      <c r="E71" s="41"/>
      <c r="F71" s="41"/>
      <c r="G71" s="42">
        <f t="shared" si="70"/>
        <v>0</v>
      </c>
      <c r="H71" s="23" t="str">
        <f t="shared" si="71"/>
        <v>-</v>
      </c>
      <c r="I71" s="452"/>
      <c r="J71" s="377"/>
      <c r="K71" s="41"/>
      <c r="L71" s="42">
        <f t="shared" si="108"/>
        <v>0</v>
      </c>
      <c r="M71" s="23" t="str">
        <f t="shared" si="109"/>
        <v>-</v>
      </c>
      <c r="N71" s="452"/>
      <c r="O71" s="377"/>
      <c r="P71" s="41"/>
      <c r="Q71" s="42">
        <f t="shared" si="110"/>
        <v>0</v>
      </c>
      <c r="R71" s="23" t="str">
        <f t="shared" si="111"/>
        <v>-</v>
      </c>
      <c r="S71" s="452"/>
      <c r="T71" s="41"/>
      <c r="U71" s="41"/>
      <c r="V71" s="42">
        <f t="shared" si="112"/>
        <v>0</v>
      </c>
      <c r="W71" s="23" t="str">
        <f t="shared" si="113"/>
        <v>-</v>
      </c>
      <c r="X71" s="452"/>
    </row>
    <row r="72" spans="1:24" x14ac:dyDescent="0.2">
      <c r="A72" s="222">
        <v>5220</v>
      </c>
      <c r="B72" s="40" t="s">
        <v>216</v>
      </c>
      <c r="C72" s="41"/>
      <c r="D72" s="377"/>
      <c r="E72" s="41"/>
      <c r="F72" s="41"/>
      <c r="G72" s="42">
        <f t="shared" si="70"/>
        <v>0</v>
      </c>
      <c r="H72" s="23" t="str">
        <f t="shared" si="71"/>
        <v>-</v>
      </c>
      <c r="I72" s="452"/>
      <c r="J72" s="377"/>
      <c r="K72" s="41"/>
      <c r="L72" s="42">
        <f t="shared" si="108"/>
        <v>0</v>
      </c>
      <c r="M72" s="23" t="str">
        <f t="shared" si="109"/>
        <v>-</v>
      </c>
      <c r="N72" s="452"/>
      <c r="O72" s="377"/>
      <c r="P72" s="41"/>
      <c r="Q72" s="42">
        <f t="shared" si="110"/>
        <v>0</v>
      </c>
      <c r="R72" s="23" t="str">
        <f t="shared" si="111"/>
        <v>-</v>
      </c>
      <c r="S72" s="452"/>
      <c r="T72" s="41"/>
      <c r="U72" s="41"/>
      <c r="V72" s="42">
        <f t="shared" si="112"/>
        <v>0</v>
      </c>
      <c r="W72" s="23" t="str">
        <f t="shared" si="113"/>
        <v>-</v>
      </c>
      <c r="X72" s="452"/>
    </row>
    <row r="73" spans="1:24" x14ac:dyDescent="0.2">
      <c r="A73" s="222">
        <v>5230</v>
      </c>
      <c r="B73" s="40" t="s">
        <v>219</v>
      </c>
      <c r="C73" s="41">
        <v>52</v>
      </c>
      <c r="D73" s="377">
        <v>0</v>
      </c>
      <c r="E73" s="41">
        <v>0</v>
      </c>
      <c r="F73" s="41"/>
      <c r="G73" s="42">
        <f t="shared" si="70"/>
        <v>0</v>
      </c>
      <c r="H73" s="23" t="str">
        <f t="shared" si="71"/>
        <v>-</v>
      </c>
      <c r="I73" s="452"/>
      <c r="J73" s="377">
        <v>0</v>
      </c>
      <c r="K73" s="41">
        <v>140</v>
      </c>
      <c r="L73" s="42">
        <f t="shared" si="108"/>
        <v>140</v>
      </c>
      <c r="M73" s="23" t="str">
        <f t="shared" si="109"/>
        <v>-</v>
      </c>
      <c r="N73" s="452"/>
      <c r="O73" s="377">
        <v>0</v>
      </c>
      <c r="P73" s="41">
        <v>61</v>
      </c>
      <c r="Q73" s="42">
        <f t="shared" si="110"/>
        <v>61</v>
      </c>
      <c r="R73" s="23" t="str">
        <f t="shared" si="111"/>
        <v>-</v>
      </c>
      <c r="S73" s="452"/>
      <c r="T73" s="41">
        <v>0</v>
      </c>
      <c r="U73" s="41"/>
      <c r="V73" s="42">
        <f t="shared" si="112"/>
        <v>0</v>
      </c>
      <c r="W73" s="23" t="str">
        <f t="shared" si="113"/>
        <v>-</v>
      </c>
      <c r="X73" s="452"/>
    </row>
    <row r="74" spans="1:24" x14ac:dyDescent="0.2">
      <c r="A74" s="222">
        <v>5240</v>
      </c>
      <c r="B74" s="40" t="s">
        <v>220</v>
      </c>
      <c r="C74" s="41">
        <v>62921</v>
      </c>
      <c r="D74" s="377">
        <v>68000</v>
      </c>
      <c r="E74" s="41">
        <v>96000</v>
      </c>
      <c r="F74" s="41">
        <v>127214</v>
      </c>
      <c r="G74" s="42">
        <f t="shared" si="70"/>
        <v>31214</v>
      </c>
      <c r="H74" s="23">
        <f t="shared" si="71"/>
        <v>0.32514583333333336</v>
      </c>
      <c r="I74" s="452"/>
      <c r="J74" s="377">
        <v>85625</v>
      </c>
      <c r="K74" s="41">
        <v>82674</v>
      </c>
      <c r="L74" s="42">
        <f t="shared" si="108"/>
        <v>-2951</v>
      </c>
      <c r="M74" s="23">
        <f t="shared" si="109"/>
        <v>-3.4464233576642335E-2</v>
      </c>
      <c r="N74" s="452"/>
      <c r="O74" s="377">
        <v>85000</v>
      </c>
      <c r="P74" s="41">
        <f>68439+262</f>
        <v>68701</v>
      </c>
      <c r="Q74" s="42">
        <f t="shared" si="110"/>
        <v>-16299</v>
      </c>
      <c r="R74" s="23">
        <f t="shared" si="111"/>
        <v>-0.1917529411764706</v>
      </c>
      <c r="S74" s="452"/>
      <c r="T74" s="41">
        <f>D74</f>
        <v>68000</v>
      </c>
      <c r="U74" s="41"/>
      <c r="V74" s="42">
        <f t="shared" si="112"/>
        <v>-68000</v>
      </c>
      <c r="W74" s="23">
        <f t="shared" si="113"/>
        <v>-1</v>
      </c>
      <c r="X74" s="452"/>
    </row>
    <row r="75" spans="1:24" ht="31.5" x14ac:dyDescent="0.2">
      <c r="A75" s="222">
        <v>5250</v>
      </c>
      <c r="B75" s="40" t="s">
        <v>276</v>
      </c>
      <c r="C75" s="41">
        <v>351882</v>
      </c>
      <c r="D75" s="377">
        <v>352000</v>
      </c>
      <c r="E75" s="41">
        <v>375000</v>
      </c>
      <c r="F75" s="41">
        <v>335236</v>
      </c>
      <c r="G75" s="42">
        <f t="shared" ref="G75" si="114">F75-E75</f>
        <v>-39764</v>
      </c>
      <c r="H75" s="23">
        <f t="shared" ref="H75" si="115">IFERROR(G75/ABS(E75), "-")</f>
        <v>-0.10603733333333333</v>
      </c>
      <c r="I75" s="452"/>
      <c r="J75" s="377">
        <v>375000</v>
      </c>
      <c r="K75" s="41">
        <v>370352</v>
      </c>
      <c r="L75" s="42">
        <f t="shared" si="108"/>
        <v>-4648</v>
      </c>
      <c r="M75" s="23">
        <f t="shared" si="109"/>
        <v>-1.2394666666666667E-2</v>
      </c>
      <c r="N75" s="452"/>
      <c r="O75" s="377">
        <v>360000</v>
      </c>
      <c r="P75" s="41">
        <v>355511</v>
      </c>
      <c r="Q75" s="42">
        <f>P75-O75</f>
        <v>-4489</v>
      </c>
      <c r="R75" s="23">
        <f t="shared" si="111"/>
        <v>-1.2469444444444444E-2</v>
      </c>
      <c r="S75" s="452"/>
      <c r="T75" s="41">
        <v>352000</v>
      </c>
      <c r="U75" s="41"/>
      <c r="V75" s="42">
        <f t="shared" si="112"/>
        <v>-352000</v>
      </c>
      <c r="W75" s="23">
        <f t="shared" si="113"/>
        <v>-1</v>
      </c>
      <c r="X75" s="452"/>
    </row>
    <row r="76" spans="1:24" x14ac:dyDescent="0.2">
      <c r="A76" s="222">
        <v>5260</v>
      </c>
      <c r="B76" s="40" t="s">
        <v>221</v>
      </c>
      <c r="C76" s="41">
        <v>574489</v>
      </c>
      <c r="D76" s="377">
        <v>600000</v>
      </c>
      <c r="E76" s="41">
        <v>650000</v>
      </c>
      <c r="F76" s="41">
        <v>539400</v>
      </c>
      <c r="G76" s="42">
        <f t="shared" si="70"/>
        <v>-110600</v>
      </c>
      <c r="H76" s="23">
        <f t="shared" si="71"/>
        <v>-0.17015384615384616</v>
      </c>
      <c r="I76" s="452"/>
      <c r="J76" s="377">
        <v>600000</v>
      </c>
      <c r="K76" s="41">
        <f>535289+786</f>
        <v>536075</v>
      </c>
      <c r="L76" s="42">
        <f t="shared" si="108"/>
        <v>-63925</v>
      </c>
      <c r="M76" s="23">
        <f t="shared" si="109"/>
        <v>-0.10654166666666667</v>
      </c>
      <c r="N76" s="452"/>
      <c r="O76" s="377">
        <v>560000</v>
      </c>
      <c r="P76" s="41">
        <f>552156</f>
        <v>552156</v>
      </c>
      <c r="Q76" s="42">
        <f>P76-O76</f>
        <v>-7844</v>
      </c>
      <c r="R76" s="23">
        <f t="shared" si="111"/>
        <v>-1.4007142857142857E-2</v>
      </c>
      <c r="S76" s="452"/>
      <c r="T76" s="41">
        <f>D76</f>
        <v>600000</v>
      </c>
      <c r="U76" s="41"/>
      <c r="V76" s="42">
        <f t="shared" si="112"/>
        <v>-600000</v>
      </c>
      <c r="W76" s="23">
        <f t="shared" si="113"/>
        <v>-1</v>
      </c>
      <c r="X76" s="452"/>
    </row>
    <row r="77" spans="1:24" x14ac:dyDescent="0.2">
      <c r="A77" s="222">
        <v>5270</v>
      </c>
      <c r="B77" s="40" t="s">
        <v>217</v>
      </c>
      <c r="C77" s="41">
        <v>17747</v>
      </c>
      <c r="D77" s="377">
        <v>17747</v>
      </c>
      <c r="E77" s="41">
        <v>13310</v>
      </c>
      <c r="F77" s="41">
        <v>13310</v>
      </c>
      <c r="G77" s="42">
        <f t="shared" si="70"/>
        <v>0</v>
      </c>
      <c r="H77" s="23">
        <f t="shared" si="71"/>
        <v>0</v>
      </c>
      <c r="I77" s="452"/>
      <c r="J77" s="377">
        <v>8874</v>
      </c>
      <c r="K77" s="41">
        <v>8874</v>
      </c>
      <c r="L77" s="42">
        <f t="shared" si="108"/>
        <v>0</v>
      </c>
      <c r="M77" s="23">
        <f t="shared" si="109"/>
        <v>0</v>
      </c>
      <c r="N77" s="452"/>
      <c r="O77" s="377">
        <v>4437</v>
      </c>
      <c r="P77" s="41">
        <v>4437</v>
      </c>
      <c r="Q77" s="42">
        <f t="shared" si="110"/>
        <v>0</v>
      </c>
      <c r="R77" s="23">
        <f t="shared" si="111"/>
        <v>0</v>
      </c>
      <c r="S77" s="452"/>
      <c r="T77" s="41">
        <f>D77</f>
        <v>17747</v>
      </c>
      <c r="U77" s="41"/>
      <c r="V77" s="42">
        <f t="shared" si="112"/>
        <v>-17747</v>
      </c>
      <c r="W77" s="23">
        <f t="shared" si="113"/>
        <v>-1</v>
      </c>
      <c r="X77" s="452"/>
    </row>
    <row r="78" spans="1:24" x14ac:dyDescent="0.2">
      <c r="A78" s="222">
        <v>5280</v>
      </c>
      <c r="B78" s="40" t="s">
        <v>222</v>
      </c>
      <c r="C78" s="41">
        <v>405064</v>
      </c>
      <c r="D78" s="377">
        <f>407355+21252</f>
        <v>428607</v>
      </c>
      <c r="E78" s="41">
        <v>347355</v>
      </c>
      <c r="F78" s="41">
        <v>347456</v>
      </c>
      <c r="G78" s="42">
        <f t="shared" si="70"/>
        <v>101</v>
      </c>
      <c r="H78" s="23">
        <f t="shared" si="71"/>
        <v>2.907688100070533E-4</v>
      </c>
      <c r="I78" s="452"/>
      <c r="J78" s="377">
        <v>347355</v>
      </c>
      <c r="K78" s="41">
        <v>347355</v>
      </c>
      <c r="L78" s="42">
        <f t="shared" si="108"/>
        <v>0</v>
      </c>
      <c r="M78" s="23">
        <f t="shared" si="109"/>
        <v>0</v>
      </c>
      <c r="N78" s="452"/>
      <c r="O78" s="377">
        <v>347355</v>
      </c>
      <c r="P78" s="41">
        <v>347355</v>
      </c>
      <c r="Q78" s="42">
        <f t="shared" si="110"/>
        <v>0</v>
      </c>
      <c r="R78" s="23">
        <f t="shared" si="111"/>
        <v>0</v>
      </c>
      <c r="S78" s="452"/>
      <c r="T78" s="41">
        <f>D78</f>
        <v>428607</v>
      </c>
      <c r="U78" s="41"/>
      <c r="V78" s="42">
        <f t="shared" si="112"/>
        <v>-428607</v>
      </c>
      <c r="W78" s="23">
        <f t="shared" si="113"/>
        <v>-1</v>
      </c>
      <c r="X78" s="452"/>
    </row>
    <row r="79" spans="1:24" x14ac:dyDescent="0.2">
      <c r="A79" s="222">
        <v>5290</v>
      </c>
      <c r="B79" s="40" t="s">
        <v>277</v>
      </c>
      <c r="C79" s="41"/>
      <c r="D79" s="377"/>
      <c r="E79" s="41"/>
      <c r="F79" s="41"/>
      <c r="G79" s="42">
        <f t="shared" si="70"/>
        <v>0</v>
      </c>
      <c r="H79" s="23" t="str">
        <f t="shared" si="71"/>
        <v>-</v>
      </c>
      <c r="I79" s="453"/>
      <c r="J79" s="377"/>
      <c r="K79" s="41"/>
      <c r="L79" s="42">
        <f t="shared" si="108"/>
        <v>0</v>
      </c>
      <c r="M79" s="23" t="str">
        <f t="shared" si="109"/>
        <v>-</v>
      </c>
      <c r="N79" s="453"/>
      <c r="O79" s="377"/>
      <c r="P79" s="41"/>
      <c r="Q79" s="42">
        <f t="shared" si="110"/>
        <v>0</v>
      </c>
      <c r="R79" s="23" t="str">
        <f t="shared" si="111"/>
        <v>-</v>
      </c>
      <c r="S79" s="453"/>
      <c r="T79" s="41"/>
      <c r="U79" s="41"/>
      <c r="V79" s="42">
        <f t="shared" si="112"/>
        <v>0</v>
      </c>
      <c r="W79" s="23" t="str">
        <f t="shared" si="113"/>
        <v>-</v>
      </c>
      <c r="X79" s="453"/>
    </row>
    <row r="80" spans="1:24" s="34" customFormat="1" x14ac:dyDescent="0.2">
      <c r="A80" s="269"/>
      <c r="B80" s="262" t="s">
        <v>366</v>
      </c>
      <c r="C80" s="263">
        <f>C59+C58+C49</f>
        <v>16004250</v>
      </c>
      <c r="D80" s="376">
        <f>D59+D58+D49</f>
        <v>15632835</v>
      </c>
      <c r="E80" s="263">
        <f>E59+E58+E49</f>
        <v>15886958</v>
      </c>
      <c r="F80" s="263">
        <f>F59+F58+F49</f>
        <v>15724819</v>
      </c>
      <c r="G80" s="264">
        <f t="shared" si="70"/>
        <v>-162139</v>
      </c>
      <c r="H80" s="265">
        <f t="shared" si="71"/>
        <v>-1.0205792701157767E-2</v>
      </c>
      <c r="I80" s="266"/>
      <c r="J80" s="376">
        <f>J59+J58+J49</f>
        <v>15977468</v>
      </c>
      <c r="K80" s="263">
        <f>K59+K58+K49</f>
        <v>15775621</v>
      </c>
      <c r="L80" s="264">
        <f t="shared" si="108"/>
        <v>-201847</v>
      </c>
      <c r="M80" s="265">
        <f t="shared" si="109"/>
        <v>-1.2633228243674154E-2</v>
      </c>
      <c r="N80" s="266"/>
      <c r="O80" s="376">
        <f>O59+O58+O49</f>
        <v>16195934</v>
      </c>
      <c r="P80" s="263">
        <f>P59+P58+P49</f>
        <v>15457130</v>
      </c>
      <c r="Q80" s="264">
        <f t="shared" si="110"/>
        <v>-738804</v>
      </c>
      <c r="R80" s="265">
        <f t="shared" si="111"/>
        <v>-4.5616634397250569E-2</v>
      </c>
      <c r="S80" s="266"/>
      <c r="T80" s="263">
        <f>T59+T58+T49</f>
        <v>15632835</v>
      </c>
      <c r="U80" s="263">
        <f>U59+U58+U49</f>
        <v>0</v>
      </c>
      <c r="V80" s="264">
        <f t="shared" si="112"/>
        <v>-15632835</v>
      </c>
      <c r="W80" s="265">
        <f t="shared" si="113"/>
        <v>-1</v>
      </c>
      <c r="X80" s="266"/>
    </row>
    <row r="81" spans="1:24" x14ac:dyDescent="0.2">
      <c r="A81" s="457"/>
      <c r="B81" s="458"/>
      <c r="C81" s="458"/>
      <c r="D81" s="458"/>
      <c r="E81" s="458"/>
      <c r="F81" s="458"/>
      <c r="G81" s="458"/>
      <c r="H81" s="458"/>
      <c r="I81" s="458"/>
      <c r="L81" s="43"/>
      <c r="M81" s="43"/>
      <c r="Q81" s="43"/>
      <c r="R81" s="43"/>
      <c r="V81" s="43"/>
      <c r="W81" s="43"/>
    </row>
    <row r="82" spans="1:24" s="34" customFormat="1" x14ac:dyDescent="0.2">
      <c r="A82" s="270" t="s">
        <v>148</v>
      </c>
      <c r="B82" s="236" t="s">
        <v>367</v>
      </c>
      <c r="C82" s="252">
        <f>SUM(C83:C84)</f>
        <v>1989679</v>
      </c>
      <c r="D82" s="372">
        <f t="shared" ref="D82:F82" si="116">SUM(D83:D84)</f>
        <v>2026131</v>
      </c>
      <c r="E82" s="252">
        <f t="shared" si="116"/>
        <v>2059189</v>
      </c>
      <c r="F82" s="252">
        <f t="shared" si="116"/>
        <v>1940141</v>
      </c>
      <c r="G82" s="253">
        <f t="shared" ref="G82:G84" si="117">F82-E82</f>
        <v>-119048</v>
      </c>
      <c r="H82" s="254">
        <f t="shared" si="71"/>
        <v>-5.7813051643146887E-2</v>
      </c>
      <c r="I82" s="255"/>
      <c r="J82" s="372">
        <f t="shared" ref="J82:K82" si="118">SUM(J83:J84)</f>
        <v>1994378</v>
      </c>
      <c r="K82" s="252">
        <f t="shared" si="118"/>
        <v>1922994</v>
      </c>
      <c r="L82" s="253">
        <f t="shared" ref="L82:L84" si="119">K82-J82</f>
        <v>-71384</v>
      </c>
      <c r="M82" s="254">
        <f t="shared" ref="M82:M84" si="120">IFERROR(L82/ABS(J82), "-")</f>
        <v>-3.5792613035242067E-2</v>
      </c>
      <c r="N82" s="255"/>
      <c r="O82" s="372">
        <f t="shared" ref="O82:P82" si="121">SUM(O83:O84)</f>
        <v>1934316</v>
      </c>
      <c r="P82" s="252">
        <f t="shared" si="121"/>
        <v>1905745</v>
      </c>
      <c r="Q82" s="253">
        <f t="shared" ref="Q82:Q84" si="122">P82-O82</f>
        <v>-28571</v>
      </c>
      <c r="R82" s="254">
        <f t="shared" ref="R82:R84" si="123">IFERROR(Q82/ABS(O82), "-")</f>
        <v>-1.4770595910905975E-2</v>
      </c>
      <c r="S82" s="255"/>
      <c r="T82" s="252">
        <f t="shared" ref="T82:U82" si="124">SUM(T83:T84)</f>
        <v>2026131</v>
      </c>
      <c r="U82" s="252">
        <f t="shared" si="124"/>
        <v>0</v>
      </c>
      <c r="V82" s="253">
        <f t="shared" ref="V82:V84" si="125">U82-T82</f>
        <v>-2026131</v>
      </c>
      <c r="W82" s="254">
        <f t="shared" ref="W82:W84" si="126">IFERROR(V82/ABS(T82), "-")</f>
        <v>-1</v>
      </c>
      <c r="X82" s="255"/>
    </row>
    <row r="83" spans="1:24" s="34" customFormat="1" x14ac:dyDescent="0.2">
      <c r="A83" s="36">
        <v>5100</v>
      </c>
      <c r="B83" s="57" t="s">
        <v>231</v>
      </c>
      <c r="C83" s="37">
        <f>C60</f>
        <v>577524</v>
      </c>
      <c r="D83" s="373">
        <f>D60</f>
        <v>559777</v>
      </c>
      <c r="E83" s="37">
        <f>E60</f>
        <v>577524</v>
      </c>
      <c r="F83" s="37">
        <f>F60</f>
        <v>577525</v>
      </c>
      <c r="G83" s="38">
        <f t="shared" si="117"/>
        <v>1</v>
      </c>
      <c r="H83" s="29">
        <f t="shared" si="71"/>
        <v>1.7315297719228985E-6</v>
      </c>
      <c r="I83" s="250"/>
      <c r="J83" s="373">
        <f>J60</f>
        <v>577524</v>
      </c>
      <c r="K83" s="37">
        <f>K60</f>
        <v>577524</v>
      </c>
      <c r="L83" s="38">
        <f t="shared" si="119"/>
        <v>0</v>
      </c>
      <c r="M83" s="29">
        <f t="shared" si="120"/>
        <v>0</v>
      </c>
      <c r="N83" s="250"/>
      <c r="O83" s="373">
        <f>O60</f>
        <v>577524</v>
      </c>
      <c r="P83" s="37">
        <f>P60</f>
        <v>577524</v>
      </c>
      <c r="Q83" s="38">
        <f t="shared" si="122"/>
        <v>0</v>
      </c>
      <c r="R83" s="29">
        <f t="shared" si="123"/>
        <v>0</v>
      </c>
      <c r="S83" s="250"/>
      <c r="T83" s="37">
        <f>T60</f>
        <v>559777</v>
      </c>
      <c r="U83" s="37">
        <f>U60</f>
        <v>0</v>
      </c>
      <c r="V83" s="38">
        <f t="shared" si="125"/>
        <v>-559777</v>
      </c>
      <c r="W83" s="29">
        <f t="shared" si="126"/>
        <v>-1</v>
      </c>
      <c r="X83" s="250"/>
    </row>
    <row r="84" spans="1:24" s="34" customFormat="1" x14ac:dyDescent="0.2">
      <c r="A84" s="36">
        <v>5200</v>
      </c>
      <c r="B84" s="58" t="s">
        <v>232</v>
      </c>
      <c r="C84" s="37">
        <f>C70</f>
        <v>1412155</v>
      </c>
      <c r="D84" s="373">
        <f t="shared" ref="D84:F84" si="127">D70</f>
        <v>1466354</v>
      </c>
      <c r="E84" s="37">
        <f>E70</f>
        <v>1481665</v>
      </c>
      <c r="F84" s="37">
        <f t="shared" si="127"/>
        <v>1362616</v>
      </c>
      <c r="G84" s="38">
        <f t="shared" si="117"/>
        <v>-119049</v>
      </c>
      <c r="H84" s="29">
        <f t="shared" si="71"/>
        <v>-8.0348121876402556E-2</v>
      </c>
      <c r="I84" s="250"/>
      <c r="J84" s="373">
        <f t="shared" ref="J84:K84" si="128">J70</f>
        <v>1416854</v>
      </c>
      <c r="K84" s="37">
        <f t="shared" si="128"/>
        <v>1345470</v>
      </c>
      <c r="L84" s="38">
        <f t="shared" si="119"/>
        <v>-71384</v>
      </c>
      <c r="M84" s="29">
        <f t="shared" si="120"/>
        <v>-5.0382043597999512E-2</v>
      </c>
      <c r="N84" s="250"/>
      <c r="O84" s="373">
        <f t="shared" ref="O84:P84" si="129">O70</f>
        <v>1356792</v>
      </c>
      <c r="P84" s="37">
        <f t="shared" si="129"/>
        <v>1328221</v>
      </c>
      <c r="Q84" s="38">
        <f t="shared" si="122"/>
        <v>-28571</v>
      </c>
      <c r="R84" s="29">
        <f t="shared" si="123"/>
        <v>-2.1057759774526973E-2</v>
      </c>
      <c r="S84" s="250"/>
      <c r="T84" s="37">
        <f t="shared" ref="T84:U84" si="130">T70</f>
        <v>1466354</v>
      </c>
      <c r="U84" s="37">
        <f t="shared" si="130"/>
        <v>0</v>
      </c>
      <c r="V84" s="38">
        <f t="shared" si="125"/>
        <v>-1466354</v>
      </c>
      <c r="W84" s="29">
        <f t="shared" si="126"/>
        <v>-1</v>
      </c>
      <c r="X84" s="250"/>
    </row>
  </sheetData>
  <sheetProtection formatCells="0" formatColumns="0" formatRows="0"/>
  <mergeCells count="29">
    <mergeCell ref="N26:N35"/>
    <mergeCell ref="I26:I35"/>
    <mergeCell ref="X26:X35"/>
    <mergeCell ref="I11:I20"/>
    <mergeCell ref="N11:N20"/>
    <mergeCell ref="S11:S20"/>
    <mergeCell ref="X11:X20"/>
    <mergeCell ref="I4:I10"/>
    <mergeCell ref="N4:N10"/>
    <mergeCell ref="S4:S10"/>
    <mergeCell ref="X4:X10"/>
    <mergeCell ref="I55:I57"/>
    <mergeCell ref="I52:I54"/>
    <mergeCell ref="A81:I81"/>
    <mergeCell ref="I60:I69"/>
    <mergeCell ref="I70:I79"/>
    <mergeCell ref="N52:N54"/>
    <mergeCell ref="N55:N57"/>
    <mergeCell ref="N60:N69"/>
    <mergeCell ref="N70:N79"/>
    <mergeCell ref="S26:S35"/>
    <mergeCell ref="S52:S54"/>
    <mergeCell ref="S55:S57"/>
    <mergeCell ref="S60:S69"/>
    <mergeCell ref="S70:S79"/>
    <mergeCell ref="X52:X54"/>
    <mergeCell ref="X55:X57"/>
    <mergeCell ref="X60:X69"/>
    <mergeCell ref="X70:X79"/>
  </mergeCell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&amp;C&amp;"Times New Roman,Bold"&amp;14Bilance&amp;R&amp;"Times New Roman,Regular"&amp;14 3.pielikums</oddHeader>
    <oddFooter>&amp;C&amp;"Times New Roman,Regular"&amp;12&amp;F&amp;R&amp;"Times New Roman,Regular"&amp;12&amp;P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7"/>
  <sheetViews>
    <sheetView view="pageBreakPreview" zoomScale="70" zoomScaleNormal="70" zoomScaleSheetLayoutView="70" zoomScalePageLayoutView="40" workbookViewId="0">
      <pane ySplit="1" topLeftCell="A2" activePane="bottomLeft" state="frozen"/>
      <selection pane="bottomLeft" activeCell="AF19" sqref="AF19"/>
    </sheetView>
  </sheetViews>
  <sheetFormatPr defaultColWidth="9.140625" defaultRowHeight="15.75" outlineLevelCol="1" x14ac:dyDescent="0.2"/>
  <cols>
    <col min="1" max="1" width="8.42578125" style="200" bestFit="1" customWidth="1"/>
    <col min="2" max="2" width="52" style="34" customWidth="1"/>
    <col min="3" max="3" width="18.28515625" style="34" bestFit="1" customWidth="1"/>
    <col min="4" max="4" width="20.28515625" style="398" hidden="1" customWidth="1"/>
    <col min="5" max="5" width="0.5703125" style="34" hidden="1" customWidth="1"/>
    <col min="6" max="6" width="20.85546875" style="34" hidden="1" customWidth="1" outlineLevel="1"/>
    <col min="7" max="7" width="22" style="60" hidden="1" customWidth="1" outlineLevel="1"/>
    <col min="8" max="8" width="21.5703125" style="60" hidden="1" customWidth="1" outlineLevel="1"/>
    <col min="9" max="9" width="37.28515625" style="34" hidden="1" customWidth="1" outlineLevel="1"/>
    <col min="10" max="10" width="0.42578125" style="402" hidden="1" customWidth="1" collapsed="1"/>
    <col min="11" max="11" width="20.85546875" style="312" hidden="1" customWidth="1" outlineLevel="1"/>
    <col min="12" max="12" width="20.85546875" style="60" hidden="1" customWidth="1" outlineLevel="1"/>
    <col min="13" max="13" width="21.5703125" style="60" hidden="1" customWidth="1" outlineLevel="1"/>
    <col min="14" max="14" width="0.42578125" style="34" hidden="1" customWidth="1" outlineLevel="1"/>
    <col min="15" max="15" width="21.42578125" style="402" hidden="1" customWidth="1" collapsed="1"/>
    <col min="16" max="16" width="20.85546875" style="34" customWidth="1" outlineLevel="1"/>
    <col min="17" max="17" width="21.42578125" style="60" hidden="1" customWidth="1" outlineLevel="1"/>
    <col min="18" max="18" width="21.5703125" style="60" hidden="1" customWidth="1" outlineLevel="1"/>
    <col min="19" max="19" width="37.28515625" style="34" hidden="1" customWidth="1" outlineLevel="1"/>
    <col min="20" max="20" width="21.42578125" style="34" hidden="1" customWidth="1"/>
    <col min="21" max="21" width="20.85546875" style="34" hidden="1" customWidth="1" outlineLevel="1"/>
    <col min="22" max="22" width="20.42578125" style="60" hidden="1" customWidth="1" outlineLevel="1"/>
    <col min="23" max="23" width="21.5703125" style="60" hidden="1" customWidth="1" outlineLevel="1"/>
    <col min="24" max="24" width="37.28515625" style="34" hidden="1" customWidth="1" outlineLevel="1"/>
    <col min="25" max="25" width="9.140625" style="34" collapsed="1"/>
    <col min="26" max="16384" width="9.140625" style="34"/>
  </cols>
  <sheetData>
    <row r="1" spans="1:24" ht="48.6" customHeight="1" x14ac:dyDescent="0.2">
      <c r="A1" s="15" t="s">
        <v>0</v>
      </c>
      <c r="B1" s="33" t="s">
        <v>324</v>
      </c>
      <c r="C1" s="16" t="s">
        <v>368</v>
      </c>
      <c r="D1" s="343" t="s">
        <v>369</v>
      </c>
      <c r="E1" s="16" t="s">
        <v>370</v>
      </c>
      <c r="F1" s="16" t="s">
        <v>374</v>
      </c>
      <c r="G1" s="17" t="s">
        <v>266</v>
      </c>
      <c r="H1" s="18" t="s">
        <v>267</v>
      </c>
      <c r="I1" s="16" t="s">
        <v>323</v>
      </c>
      <c r="J1" s="343" t="s">
        <v>371</v>
      </c>
      <c r="K1" s="281" t="s">
        <v>391</v>
      </c>
      <c r="L1" s="17" t="s">
        <v>392</v>
      </c>
      <c r="M1" s="18" t="s">
        <v>393</v>
      </c>
      <c r="N1" s="16" t="s">
        <v>323</v>
      </c>
      <c r="O1" s="343" t="s">
        <v>372</v>
      </c>
      <c r="P1" s="16" t="s">
        <v>408</v>
      </c>
      <c r="Q1" s="17" t="s">
        <v>266</v>
      </c>
      <c r="R1" s="18" t="s">
        <v>267</v>
      </c>
      <c r="S1" s="16" t="s">
        <v>323</v>
      </c>
      <c r="T1" s="16" t="s">
        <v>373</v>
      </c>
      <c r="U1" s="16" t="s">
        <v>288</v>
      </c>
      <c r="V1" s="17" t="s">
        <v>266</v>
      </c>
      <c r="W1" s="18" t="s">
        <v>267</v>
      </c>
      <c r="X1" s="16" t="s">
        <v>323</v>
      </c>
    </row>
    <row r="2" spans="1:24" ht="12" customHeight="1" x14ac:dyDescent="0.2">
      <c r="A2" s="35">
        <v>1</v>
      </c>
      <c r="B2" s="16">
        <v>2</v>
      </c>
      <c r="C2" s="16">
        <v>3</v>
      </c>
      <c r="D2" s="343">
        <v>4</v>
      </c>
      <c r="E2" s="16">
        <v>5</v>
      </c>
      <c r="F2" s="16">
        <v>6</v>
      </c>
      <c r="G2" s="17">
        <v>7</v>
      </c>
      <c r="H2" s="19">
        <v>8</v>
      </c>
      <c r="I2" s="16">
        <v>9</v>
      </c>
      <c r="J2" s="343">
        <v>10</v>
      </c>
      <c r="K2" s="281">
        <v>11</v>
      </c>
      <c r="L2" s="17">
        <v>12</v>
      </c>
      <c r="M2" s="19">
        <v>13</v>
      </c>
      <c r="N2" s="16">
        <v>14</v>
      </c>
      <c r="O2" s="343">
        <v>15</v>
      </c>
      <c r="P2" s="16">
        <v>16</v>
      </c>
      <c r="Q2" s="17">
        <v>17</v>
      </c>
      <c r="R2" s="19">
        <v>18</v>
      </c>
      <c r="S2" s="16">
        <v>19</v>
      </c>
      <c r="T2" s="16">
        <v>20</v>
      </c>
      <c r="U2" s="16">
        <v>21</v>
      </c>
      <c r="V2" s="17">
        <v>22</v>
      </c>
      <c r="W2" s="19">
        <v>23</v>
      </c>
      <c r="X2" s="16">
        <v>24</v>
      </c>
    </row>
    <row r="3" spans="1:24" ht="15.6" customHeight="1" x14ac:dyDescent="0.2">
      <c r="A3" s="111">
        <v>10000</v>
      </c>
      <c r="B3" s="57" t="s">
        <v>149</v>
      </c>
      <c r="C3" s="112">
        <v>1553186</v>
      </c>
      <c r="D3" s="384">
        <f>C47</f>
        <v>2308208</v>
      </c>
      <c r="E3" s="114">
        <f>D3</f>
        <v>2308208</v>
      </c>
      <c r="F3" s="114">
        <f>E3</f>
        <v>2308208</v>
      </c>
      <c r="G3" s="115">
        <f>F3-E3</f>
        <v>0</v>
      </c>
      <c r="H3" s="29">
        <f>IFERROR(G3/ABS(E3), "-")</f>
        <v>0</v>
      </c>
      <c r="I3" s="244"/>
      <c r="J3" s="388">
        <f>D3</f>
        <v>2308208</v>
      </c>
      <c r="K3" s="313">
        <f>D3</f>
        <v>2308208</v>
      </c>
      <c r="L3" s="115">
        <f>K3-J3</f>
        <v>0</v>
      </c>
      <c r="M3" s="29">
        <f>IFERROR(L3/ABS(J3), "-")</f>
        <v>0</v>
      </c>
      <c r="N3" s="244"/>
      <c r="O3" s="388">
        <f>D3</f>
        <v>2308208</v>
      </c>
      <c r="P3" s="114">
        <f>D3</f>
        <v>2308208</v>
      </c>
      <c r="Q3" s="115">
        <f>P3-O3</f>
        <v>0</v>
      </c>
      <c r="R3" s="29">
        <f>IFERROR(Q3/ABS(O3), "-")</f>
        <v>0</v>
      </c>
      <c r="S3" s="244"/>
      <c r="T3" s="114">
        <f>D3</f>
        <v>2308208</v>
      </c>
      <c r="U3" s="114" t="str">
        <f>S47</f>
        <v>Naudas plūsmu būtiski ietekmē dalībnieku sapulces lēmums par dividenžu izmaksu no 2022.gada peļņas, kā arī tam saistošo UIN maksājums. Vairāku gadu finanšu līdzekļu uzkrājums no īstenotiem ES projektiem tika paredzēts slimnīcas turpmākajiem attīstības projektiem, tai skaitā zaļajiem (vides) projektiem. Šobrīd slimnīca pārskata investīciju plānu. Kopā dividendes un UIN samazina NP par 428 825 euro.</v>
      </c>
      <c r="V3" s="115" t="e">
        <f>U3-T3</f>
        <v>#VALUE!</v>
      </c>
      <c r="W3" s="29" t="str">
        <f>IFERROR(V3/ABS(T3), "-")</f>
        <v>-</v>
      </c>
      <c r="X3" s="244"/>
    </row>
    <row r="4" spans="1:24" ht="15.6" customHeight="1" x14ac:dyDescent="0.2">
      <c r="A4" s="237" t="s">
        <v>158</v>
      </c>
      <c r="B4" s="468" t="s">
        <v>150</v>
      </c>
      <c r="C4" s="468"/>
      <c r="D4" s="468"/>
      <c r="E4" s="468"/>
      <c r="F4" s="468"/>
      <c r="G4" s="468"/>
      <c r="H4" s="238"/>
      <c r="I4" s="239"/>
      <c r="J4" s="399"/>
      <c r="K4" s="314"/>
      <c r="L4" s="240"/>
      <c r="M4" s="238"/>
      <c r="N4" s="239"/>
      <c r="O4" s="399"/>
      <c r="P4" s="240"/>
      <c r="Q4" s="240"/>
      <c r="R4" s="238"/>
      <c r="S4" s="239"/>
      <c r="T4" s="240"/>
      <c r="U4" s="240"/>
      <c r="V4" s="240"/>
      <c r="W4" s="238"/>
      <c r="X4" s="239"/>
    </row>
    <row r="5" spans="1:24" ht="15.6" customHeight="1" x14ac:dyDescent="0.2">
      <c r="A5" s="111">
        <v>11000</v>
      </c>
      <c r="B5" s="57" t="s">
        <v>151</v>
      </c>
      <c r="C5" s="113">
        <f>C6+C11+C12+C13+C14+C15</f>
        <v>12437440</v>
      </c>
      <c r="D5" s="384">
        <f>D6+D11+D12+D13+D14+D15</f>
        <v>12045975</v>
      </c>
      <c r="E5" s="113">
        <f>E6+E11+E12+E13+E14+E15</f>
        <v>2676800</v>
      </c>
      <c r="F5" s="113">
        <f>F6+F11+F12+F13+F14+F15</f>
        <v>2492547</v>
      </c>
      <c r="G5" s="116">
        <f t="shared" ref="G5:G19" si="0">F5-E5</f>
        <v>-184253</v>
      </c>
      <c r="H5" s="117">
        <f t="shared" ref="H5:H30" si="1">IFERROR(G5/ABS(E5), "-")</f>
        <v>-6.8833308427973694E-2</v>
      </c>
      <c r="I5" s="242"/>
      <c r="J5" s="384">
        <f>J6+J11+J12+J13+J14+J15</f>
        <v>5830177</v>
      </c>
      <c r="K5" s="286">
        <f>K6+K11+K12+K13+K14+K15</f>
        <v>5597243</v>
      </c>
      <c r="L5" s="116">
        <f t="shared" ref="L5:L19" si="2">K5-J5</f>
        <v>-232934</v>
      </c>
      <c r="M5" s="117">
        <f t="shared" ref="M5:M54" si="3">IFERROR(L5/ABS(J5), "-")</f>
        <v>-3.9953160941769005E-2</v>
      </c>
      <c r="N5" s="242"/>
      <c r="O5" s="384">
        <f>O6+O11+O12+O13+O14+O15</f>
        <v>8935491</v>
      </c>
      <c r="P5" s="113">
        <f>P6+P11+P12+P13+P14+P15</f>
        <v>8855479</v>
      </c>
      <c r="Q5" s="116">
        <f t="shared" ref="Q5:Q19" si="4">P5-O5</f>
        <v>-80012</v>
      </c>
      <c r="R5" s="117">
        <f t="shared" ref="R5:R54" si="5">IFERROR(Q5/ABS(O5), "-")</f>
        <v>-8.9544044082188658E-3</v>
      </c>
      <c r="S5" s="242"/>
      <c r="T5" s="113">
        <f>T6+T11+T12+T13+T14+T15</f>
        <v>12045975</v>
      </c>
      <c r="U5" s="113">
        <f>U6+U11+U12+U13+U14+U15</f>
        <v>0</v>
      </c>
      <c r="V5" s="116">
        <f t="shared" ref="V5:V19" si="6">U5-T5</f>
        <v>-12045975</v>
      </c>
      <c r="W5" s="117">
        <f t="shared" ref="W5:W54" si="7">IFERROR(V5/ABS(T5), "-")</f>
        <v>-1</v>
      </c>
      <c r="X5" s="242"/>
    </row>
    <row r="6" spans="1:24" ht="15.6" customHeight="1" x14ac:dyDescent="0.2">
      <c r="A6" s="61">
        <v>11100</v>
      </c>
      <c r="B6" s="62" t="s">
        <v>152</v>
      </c>
      <c r="C6" s="63">
        <f>C7+C8+C9+C10</f>
        <v>12152273</v>
      </c>
      <c r="D6" s="385">
        <f t="shared" ref="D6:F6" si="8">D7+D8+D9+D10</f>
        <v>11762300</v>
      </c>
      <c r="E6" s="63">
        <f t="shared" si="8"/>
        <v>2605860</v>
      </c>
      <c r="F6" s="63">
        <f t="shared" si="8"/>
        <v>2413543</v>
      </c>
      <c r="G6" s="64">
        <f t="shared" si="0"/>
        <v>-192317</v>
      </c>
      <c r="H6" s="65">
        <f t="shared" si="1"/>
        <v>-7.3801739157130467E-2</v>
      </c>
      <c r="I6" s="66"/>
      <c r="J6" s="385">
        <f t="shared" ref="J6" si="9">J7+J8+J9+J10</f>
        <v>5688290</v>
      </c>
      <c r="K6" s="315">
        <f>K7+K8+K9+K10</f>
        <v>5445146</v>
      </c>
      <c r="L6" s="64">
        <f t="shared" si="2"/>
        <v>-243144</v>
      </c>
      <c r="M6" s="65">
        <f t="shared" si="3"/>
        <v>-4.274465612688523E-2</v>
      </c>
      <c r="N6" s="66"/>
      <c r="O6" s="385">
        <f t="shared" ref="O6:P6" si="10">O7+O8+O9+O10</f>
        <v>8722661</v>
      </c>
      <c r="P6" s="63">
        <f t="shared" si="10"/>
        <v>8612596</v>
      </c>
      <c r="Q6" s="64">
        <f t="shared" si="4"/>
        <v>-110065</v>
      </c>
      <c r="R6" s="65">
        <f t="shared" si="5"/>
        <v>-1.2618282425512124E-2</v>
      </c>
      <c r="S6" s="66"/>
      <c r="T6" s="63">
        <f t="shared" ref="T6:U6" si="11">T7+T8+T9+T10</f>
        <v>11762300</v>
      </c>
      <c r="U6" s="63">
        <f t="shared" si="11"/>
        <v>0</v>
      </c>
      <c r="V6" s="64">
        <f t="shared" si="6"/>
        <v>-11762300</v>
      </c>
      <c r="W6" s="65">
        <f t="shared" si="7"/>
        <v>-1</v>
      </c>
      <c r="X6" s="66"/>
    </row>
    <row r="7" spans="1:24" s="192" customFormat="1" ht="15.6" customHeight="1" x14ac:dyDescent="0.2">
      <c r="A7" s="61">
        <v>11110</v>
      </c>
      <c r="B7" s="67" t="s">
        <v>96</v>
      </c>
      <c r="C7" s="63">
        <v>9682330</v>
      </c>
      <c r="D7" s="385">
        <v>9710100</v>
      </c>
      <c r="E7" s="63">
        <v>2163210</v>
      </c>
      <c r="F7" s="63">
        <f>1972174+435</f>
        <v>1972609</v>
      </c>
      <c r="G7" s="64">
        <f t="shared" si="0"/>
        <v>-190601</v>
      </c>
      <c r="H7" s="65">
        <f t="shared" si="1"/>
        <v>-8.8110262064247116E-2</v>
      </c>
      <c r="I7" s="68"/>
      <c r="J7" s="385">
        <v>4673400</v>
      </c>
      <c r="K7" s="315">
        <v>4485373</v>
      </c>
      <c r="L7" s="64">
        <f t="shared" si="2"/>
        <v>-188027</v>
      </c>
      <c r="M7" s="65">
        <f t="shared" si="3"/>
        <v>-4.0233448880900413E-2</v>
      </c>
      <c r="N7" s="68"/>
      <c r="O7" s="385">
        <v>7191850</v>
      </c>
      <c r="P7" s="63">
        <v>7119790</v>
      </c>
      <c r="Q7" s="64">
        <f t="shared" si="4"/>
        <v>-72060</v>
      </c>
      <c r="R7" s="65">
        <f t="shared" si="5"/>
        <v>-1.0019675048840007E-2</v>
      </c>
      <c r="S7" s="68"/>
      <c r="T7" s="63">
        <f>D7</f>
        <v>9710100</v>
      </c>
      <c r="U7" s="63"/>
      <c r="V7" s="64">
        <f t="shared" si="6"/>
        <v>-9710100</v>
      </c>
      <c r="W7" s="65">
        <f t="shared" si="7"/>
        <v>-1</v>
      </c>
      <c r="X7" s="68"/>
    </row>
    <row r="8" spans="1:24" s="193" customFormat="1" ht="15.6" customHeight="1" x14ac:dyDescent="0.2">
      <c r="A8" s="61">
        <v>11120</v>
      </c>
      <c r="B8" s="69" t="s">
        <v>102</v>
      </c>
      <c r="C8" s="63">
        <v>1437267</v>
      </c>
      <c r="D8" s="385">
        <v>1652300</v>
      </c>
      <c r="E8" s="63">
        <f>384650-20000</f>
        <v>364650</v>
      </c>
      <c r="F8" s="63">
        <v>344997</v>
      </c>
      <c r="G8" s="64">
        <f t="shared" si="0"/>
        <v>-19653</v>
      </c>
      <c r="H8" s="65">
        <f t="shared" si="1"/>
        <v>-5.3895516248457426E-2</v>
      </c>
      <c r="I8" s="68"/>
      <c r="J8" s="385">
        <v>817825</v>
      </c>
      <c r="K8" s="315">
        <v>804458</v>
      </c>
      <c r="L8" s="64">
        <f t="shared" si="2"/>
        <v>-13367</v>
      </c>
      <c r="M8" s="65">
        <f t="shared" si="3"/>
        <v>-1.634457249411549E-2</v>
      </c>
      <c r="N8" s="68"/>
      <c r="O8" s="385">
        <v>1230811</v>
      </c>
      <c r="P8" s="63">
        <v>1225286</v>
      </c>
      <c r="Q8" s="64">
        <f t="shared" si="4"/>
        <v>-5525</v>
      </c>
      <c r="R8" s="65">
        <f t="shared" si="5"/>
        <v>-4.4889101576115259E-3</v>
      </c>
      <c r="S8" s="68"/>
      <c r="T8" s="63">
        <f>D8</f>
        <v>1652300</v>
      </c>
      <c r="U8" s="63"/>
      <c r="V8" s="64">
        <f t="shared" si="6"/>
        <v>-1652300</v>
      </c>
      <c r="W8" s="65">
        <f t="shared" si="7"/>
        <v>-1</v>
      </c>
      <c r="X8" s="68"/>
    </row>
    <row r="9" spans="1:24" s="193" customFormat="1" ht="15.6" customHeight="1" x14ac:dyDescent="0.2">
      <c r="A9" s="61">
        <v>11130</v>
      </c>
      <c r="B9" s="69" t="s">
        <v>108</v>
      </c>
      <c r="C9" s="63">
        <v>471669</v>
      </c>
      <c r="D9" s="385">
        <v>399900</v>
      </c>
      <c r="E9" s="63">
        <f>90000-12000</f>
        <v>78000</v>
      </c>
      <c r="F9" s="63">
        <v>95937</v>
      </c>
      <c r="G9" s="64">
        <f t="shared" si="0"/>
        <v>17937</v>
      </c>
      <c r="H9" s="65">
        <f t="shared" si="1"/>
        <v>0.22996153846153847</v>
      </c>
      <c r="I9" s="68" t="s">
        <v>384</v>
      </c>
      <c r="J9" s="385">
        <v>197065</v>
      </c>
      <c r="K9" s="315">
        <v>155315</v>
      </c>
      <c r="L9" s="64">
        <f t="shared" si="2"/>
        <v>-41750</v>
      </c>
      <c r="M9" s="65">
        <f t="shared" si="3"/>
        <v>-0.21185903128409408</v>
      </c>
      <c r="N9" s="68" t="s">
        <v>394</v>
      </c>
      <c r="O9" s="385">
        <v>300000</v>
      </c>
      <c r="P9" s="63">
        <v>267520</v>
      </c>
      <c r="Q9" s="64">
        <f t="shared" si="4"/>
        <v>-32480</v>
      </c>
      <c r="R9" s="65">
        <f t="shared" si="5"/>
        <v>-0.10826666666666666</v>
      </c>
      <c r="S9" s="68"/>
      <c r="T9" s="63">
        <f>D9</f>
        <v>399900</v>
      </c>
      <c r="U9" s="63"/>
      <c r="V9" s="64">
        <f t="shared" si="6"/>
        <v>-399900</v>
      </c>
      <c r="W9" s="65">
        <f t="shared" si="7"/>
        <v>-1</v>
      </c>
      <c r="X9" s="68"/>
    </row>
    <row r="10" spans="1:24" s="193" customFormat="1" ht="15.6" customHeight="1" x14ac:dyDescent="0.2">
      <c r="A10" s="61">
        <v>11140</v>
      </c>
      <c r="B10" s="69" t="s">
        <v>84</v>
      </c>
      <c r="C10" s="63">
        <v>561007</v>
      </c>
      <c r="D10" s="385">
        <v>0</v>
      </c>
      <c r="E10" s="63">
        <v>0</v>
      </c>
      <c r="F10" s="63"/>
      <c r="G10" s="64">
        <f t="shared" si="0"/>
        <v>0</v>
      </c>
      <c r="H10" s="65" t="str">
        <f t="shared" si="1"/>
        <v>-</v>
      </c>
      <c r="I10" s="68"/>
      <c r="J10" s="385">
        <v>0</v>
      </c>
      <c r="K10" s="315"/>
      <c r="L10" s="64">
        <f t="shared" si="2"/>
        <v>0</v>
      </c>
      <c r="M10" s="65" t="str">
        <f t="shared" si="3"/>
        <v>-</v>
      </c>
      <c r="N10" s="68"/>
      <c r="O10" s="385">
        <v>0</v>
      </c>
      <c r="P10" s="63"/>
      <c r="Q10" s="64">
        <f t="shared" si="4"/>
        <v>0</v>
      </c>
      <c r="R10" s="65" t="str">
        <f t="shared" si="5"/>
        <v>-</v>
      </c>
      <c r="S10" s="68"/>
      <c r="T10" s="63">
        <v>0</v>
      </c>
      <c r="U10" s="63"/>
      <c r="V10" s="64">
        <f t="shared" si="6"/>
        <v>0</v>
      </c>
      <c r="W10" s="65" t="str">
        <f t="shared" si="7"/>
        <v>-</v>
      </c>
      <c r="X10" s="68"/>
    </row>
    <row r="11" spans="1:24" ht="15.6" customHeight="1" x14ac:dyDescent="0.2">
      <c r="A11" s="61">
        <v>11200</v>
      </c>
      <c r="B11" s="70" t="s">
        <v>268</v>
      </c>
      <c r="C11" s="71"/>
      <c r="D11" s="386"/>
      <c r="E11" s="71"/>
      <c r="F11" s="71"/>
      <c r="G11" s="72">
        <f t="shared" si="0"/>
        <v>0</v>
      </c>
      <c r="H11" s="73" t="str">
        <f t="shared" si="1"/>
        <v>-</v>
      </c>
      <c r="I11" s="74"/>
      <c r="J11" s="386"/>
      <c r="K11" s="282"/>
      <c r="L11" s="72">
        <f t="shared" si="2"/>
        <v>0</v>
      </c>
      <c r="M11" s="73" t="str">
        <f t="shared" si="3"/>
        <v>-</v>
      </c>
      <c r="N11" s="74"/>
      <c r="O11" s="386"/>
      <c r="P11" s="71"/>
      <c r="Q11" s="72">
        <f t="shared" si="4"/>
        <v>0</v>
      </c>
      <c r="R11" s="73" t="str">
        <f t="shared" si="5"/>
        <v>-</v>
      </c>
      <c r="S11" s="74"/>
      <c r="T11" s="71"/>
      <c r="U11" s="71"/>
      <c r="V11" s="72">
        <f t="shared" si="6"/>
        <v>0</v>
      </c>
      <c r="W11" s="73" t="str">
        <f t="shared" si="7"/>
        <v>-</v>
      </c>
      <c r="X11" s="74"/>
    </row>
    <row r="12" spans="1:24" ht="15.6" customHeight="1" x14ac:dyDescent="0.2">
      <c r="A12" s="61">
        <v>11300</v>
      </c>
      <c r="B12" s="75" t="s">
        <v>153</v>
      </c>
      <c r="C12" s="71">
        <v>235099</v>
      </c>
      <c r="D12" s="386">
        <v>233675</v>
      </c>
      <c r="E12" s="71">
        <v>58415</v>
      </c>
      <c r="F12" s="71">
        <v>66458</v>
      </c>
      <c r="G12" s="72">
        <f t="shared" si="0"/>
        <v>8043</v>
      </c>
      <c r="H12" s="73">
        <f t="shared" si="1"/>
        <v>0.13768723786698622</v>
      </c>
      <c r="I12" s="74"/>
      <c r="J12" s="386">
        <v>116837</v>
      </c>
      <c r="K12" s="282">
        <v>127144</v>
      </c>
      <c r="L12" s="72">
        <f t="shared" si="2"/>
        <v>10307</v>
      </c>
      <c r="M12" s="73">
        <f t="shared" si="3"/>
        <v>8.8216917586038668E-2</v>
      </c>
      <c r="N12" s="74"/>
      <c r="O12" s="386">
        <v>175255</v>
      </c>
      <c r="P12" s="71">
        <v>203570</v>
      </c>
      <c r="Q12" s="72">
        <f t="shared" si="4"/>
        <v>28315</v>
      </c>
      <c r="R12" s="73">
        <f t="shared" si="5"/>
        <v>0.16156457733017604</v>
      </c>
      <c r="S12" s="407" t="s">
        <v>409</v>
      </c>
      <c r="T12" s="71">
        <f>D12</f>
        <v>233675</v>
      </c>
      <c r="U12" s="71"/>
      <c r="V12" s="72">
        <f t="shared" si="6"/>
        <v>-233675</v>
      </c>
      <c r="W12" s="73">
        <f t="shared" si="7"/>
        <v>-1</v>
      </c>
      <c r="X12" s="74"/>
    </row>
    <row r="13" spans="1:24" ht="15.6" customHeight="1" x14ac:dyDescent="0.2">
      <c r="A13" s="61">
        <v>11400</v>
      </c>
      <c r="B13" s="13" t="s">
        <v>4</v>
      </c>
      <c r="C13" s="76">
        <v>41544</v>
      </c>
      <c r="D13" s="387">
        <v>41500</v>
      </c>
      <c r="E13" s="76">
        <v>10400</v>
      </c>
      <c r="F13" s="76">
        <v>10412</v>
      </c>
      <c r="G13" s="77">
        <f t="shared" si="0"/>
        <v>12</v>
      </c>
      <c r="H13" s="47">
        <f t="shared" si="1"/>
        <v>1.153846153846154E-3</v>
      </c>
      <c r="I13" s="78"/>
      <c r="J13" s="387">
        <v>20800</v>
      </c>
      <c r="K13" s="283">
        <v>20748</v>
      </c>
      <c r="L13" s="77">
        <f t="shared" si="2"/>
        <v>-52</v>
      </c>
      <c r="M13" s="47">
        <f t="shared" si="3"/>
        <v>-2.5000000000000001E-3</v>
      </c>
      <c r="N13" s="78"/>
      <c r="O13" s="387">
        <v>31200</v>
      </c>
      <c r="P13" s="76">
        <v>32905</v>
      </c>
      <c r="Q13" s="77">
        <f t="shared" si="4"/>
        <v>1705</v>
      </c>
      <c r="R13" s="47">
        <f t="shared" si="5"/>
        <v>5.4647435897435898E-2</v>
      </c>
      <c r="S13" s="78"/>
      <c r="T13" s="76">
        <f>D13</f>
        <v>41500</v>
      </c>
      <c r="U13" s="76"/>
      <c r="V13" s="77">
        <f t="shared" si="6"/>
        <v>-41500</v>
      </c>
      <c r="W13" s="47">
        <f t="shared" si="7"/>
        <v>-1</v>
      </c>
      <c r="X13" s="78"/>
    </row>
    <row r="14" spans="1:24" ht="15.6" customHeight="1" x14ac:dyDescent="0.2">
      <c r="A14" s="61">
        <v>11500</v>
      </c>
      <c r="B14" s="13" t="s">
        <v>181</v>
      </c>
      <c r="C14" s="76">
        <v>8524</v>
      </c>
      <c r="D14" s="387">
        <v>8500</v>
      </c>
      <c r="E14" s="76">
        <v>2125</v>
      </c>
      <c r="F14" s="76">
        <v>2134</v>
      </c>
      <c r="G14" s="77">
        <f t="shared" si="0"/>
        <v>9</v>
      </c>
      <c r="H14" s="47">
        <f t="shared" si="1"/>
        <v>4.2352941176470585E-3</v>
      </c>
      <c r="I14" s="78"/>
      <c r="J14" s="387">
        <v>4250</v>
      </c>
      <c r="K14" s="283">
        <v>4205</v>
      </c>
      <c r="L14" s="77">
        <f t="shared" si="2"/>
        <v>-45</v>
      </c>
      <c r="M14" s="47">
        <f t="shared" si="3"/>
        <v>-1.0588235294117647E-2</v>
      </c>
      <c r="N14" s="78"/>
      <c r="O14" s="387">
        <v>6375</v>
      </c>
      <c r="P14" s="76">
        <v>6408</v>
      </c>
      <c r="Q14" s="77">
        <f t="shared" si="4"/>
        <v>33</v>
      </c>
      <c r="R14" s="47">
        <f t="shared" si="5"/>
        <v>5.1764705882352945E-3</v>
      </c>
      <c r="S14" s="78"/>
      <c r="T14" s="76">
        <v>8500</v>
      </c>
      <c r="U14" s="76"/>
      <c r="V14" s="77">
        <f t="shared" si="6"/>
        <v>-8500</v>
      </c>
      <c r="W14" s="47">
        <f t="shared" si="7"/>
        <v>-1</v>
      </c>
      <c r="X14" s="78"/>
    </row>
    <row r="15" spans="1:24" ht="15.6" customHeight="1" x14ac:dyDescent="0.2">
      <c r="A15" s="61">
        <v>11600</v>
      </c>
      <c r="B15" s="79" t="s">
        <v>7</v>
      </c>
      <c r="C15" s="76"/>
      <c r="D15" s="387"/>
      <c r="E15" s="76"/>
      <c r="F15" s="76"/>
      <c r="G15" s="77">
        <f t="shared" si="0"/>
        <v>0</v>
      </c>
      <c r="H15" s="47" t="str">
        <f t="shared" si="1"/>
        <v>-</v>
      </c>
      <c r="I15" s="78"/>
      <c r="J15" s="387"/>
      <c r="K15" s="283"/>
      <c r="L15" s="77">
        <f t="shared" si="2"/>
        <v>0</v>
      </c>
      <c r="M15" s="47" t="str">
        <f t="shared" si="3"/>
        <v>-</v>
      </c>
      <c r="N15" s="78"/>
      <c r="O15" s="387"/>
      <c r="P15" s="76"/>
      <c r="Q15" s="77">
        <f t="shared" si="4"/>
        <v>0</v>
      </c>
      <c r="R15" s="47" t="str">
        <f t="shared" si="5"/>
        <v>-</v>
      </c>
      <c r="S15" s="78"/>
      <c r="T15" s="76"/>
      <c r="U15" s="76"/>
      <c r="V15" s="77">
        <f t="shared" si="6"/>
        <v>0</v>
      </c>
      <c r="W15" s="47" t="str">
        <f t="shared" si="7"/>
        <v>-</v>
      </c>
      <c r="X15" s="78"/>
    </row>
    <row r="16" spans="1:24" ht="15.6" customHeight="1" x14ac:dyDescent="0.2">
      <c r="A16" s="111">
        <v>12000</v>
      </c>
      <c r="B16" s="57" t="s">
        <v>154</v>
      </c>
      <c r="C16" s="114">
        <f>C17+C18</f>
        <v>11373309</v>
      </c>
      <c r="D16" s="388">
        <f>D17+D18</f>
        <v>12179900</v>
      </c>
      <c r="E16" s="114">
        <f>E17+E18</f>
        <v>3046250</v>
      </c>
      <c r="F16" s="114">
        <f>F17+F18</f>
        <v>2940925</v>
      </c>
      <c r="G16" s="115">
        <f t="shared" si="0"/>
        <v>-105325</v>
      </c>
      <c r="H16" s="29">
        <f t="shared" si="1"/>
        <v>-3.4575297496922446E-2</v>
      </c>
      <c r="I16" s="244"/>
      <c r="J16" s="388">
        <f>J17+J18</f>
        <v>5825200</v>
      </c>
      <c r="K16" s="313">
        <f>K17+K18</f>
        <v>5984931</v>
      </c>
      <c r="L16" s="115">
        <f t="shared" si="2"/>
        <v>159731</v>
      </c>
      <c r="M16" s="29">
        <f t="shared" si="3"/>
        <v>2.7420689418389068E-2</v>
      </c>
      <c r="N16" s="244"/>
      <c r="O16" s="388">
        <f>O17+O18</f>
        <v>8598850</v>
      </c>
      <c r="P16" s="114">
        <f>P17+P18</f>
        <v>9034190</v>
      </c>
      <c r="Q16" s="115">
        <f t="shared" si="4"/>
        <v>435340</v>
      </c>
      <c r="R16" s="29">
        <f t="shared" si="5"/>
        <v>5.0627700215726525E-2</v>
      </c>
      <c r="S16" s="244"/>
      <c r="T16" s="114">
        <f>T17+T18</f>
        <v>12179900</v>
      </c>
      <c r="U16" s="114">
        <f>U17+U18</f>
        <v>0</v>
      </c>
      <c r="V16" s="115">
        <f t="shared" si="6"/>
        <v>-12179900</v>
      </c>
      <c r="W16" s="29">
        <f t="shared" si="7"/>
        <v>-1</v>
      </c>
      <c r="X16" s="244"/>
    </row>
    <row r="17" spans="1:24" ht="15.6" customHeight="1" x14ac:dyDescent="0.2">
      <c r="A17" s="61">
        <v>12100</v>
      </c>
      <c r="B17" s="62" t="s">
        <v>155</v>
      </c>
      <c r="C17" s="71">
        <v>11311205</v>
      </c>
      <c r="D17" s="386">
        <v>12114900</v>
      </c>
      <c r="E17" s="71">
        <f>3050000-20000</f>
        <v>3030000</v>
      </c>
      <c r="F17" s="71">
        <f>2934454-5023</f>
        <v>2929431</v>
      </c>
      <c r="G17" s="72">
        <f t="shared" si="0"/>
        <v>-100569</v>
      </c>
      <c r="H17" s="73">
        <f t="shared" si="1"/>
        <v>-3.3191089108910894E-2</v>
      </c>
      <c r="I17" s="80"/>
      <c r="J17" s="386">
        <v>5792700</v>
      </c>
      <c r="K17" s="282">
        <v>5953929</v>
      </c>
      <c r="L17" s="72">
        <f t="shared" si="2"/>
        <v>161229</v>
      </c>
      <c r="M17" s="73">
        <f t="shared" si="3"/>
        <v>2.7833134807602671E-2</v>
      </c>
      <c r="N17" s="80"/>
      <c r="O17" s="386">
        <f>8600150-50000</f>
        <v>8550150</v>
      </c>
      <c r="P17" s="71">
        <f>8918712-20900</f>
        <v>8897812</v>
      </c>
      <c r="Q17" s="72">
        <f t="shared" si="4"/>
        <v>347662</v>
      </c>
      <c r="R17" s="73">
        <f t="shared" si="5"/>
        <v>4.0661508862417615E-2</v>
      </c>
      <c r="S17" s="80"/>
      <c r="T17" s="71">
        <f>D17</f>
        <v>12114900</v>
      </c>
      <c r="U17" s="71"/>
      <c r="V17" s="72">
        <f t="shared" si="6"/>
        <v>-12114900</v>
      </c>
      <c r="W17" s="73">
        <f t="shared" si="7"/>
        <v>-1</v>
      </c>
      <c r="X17" s="80"/>
    </row>
    <row r="18" spans="1:24" ht="15.6" customHeight="1" x14ac:dyDescent="0.2">
      <c r="A18" s="61">
        <v>12200</v>
      </c>
      <c r="B18" s="62" t="s">
        <v>156</v>
      </c>
      <c r="C18" s="71">
        <v>62104</v>
      </c>
      <c r="D18" s="386">
        <v>65000</v>
      </c>
      <c r="E18" s="71">
        <v>16250</v>
      </c>
      <c r="F18" s="71">
        <f>6471+5023</f>
        <v>11494</v>
      </c>
      <c r="G18" s="72">
        <f t="shared" si="0"/>
        <v>-4756</v>
      </c>
      <c r="H18" s="73">
        <f t="shared" si="1"/>
        <v>-0.29267692307692306</v>
      </c>
      <c r="I18" s="74"/>
      <c r="J18" s="386">
        <v>32500</v>
      </c>
      <c r="K18" s="282">
        <f>23714+7288</f>
        <v>31002</v>
      </c>
      <c r="L18" s="72">
        <f t="shared" si="2"/>
        <v>-1498</v>
      </c>
      <c r="M18" s="73">
        <f t="shared" si="3"/>
        <v>-4.6092307692307689E-2</v>
      </c>
      <c r="N18" s="74"/>
      <c r="O18" s="386">
        <v>48700</v>
      </c>
      <c r="P18" s="71">
        <f>94031+42347</f>
        <v>136378</v>
      </c>
      <c r="Q18" s="72">
        <f t="shared" si="4"/>
        <v>87678</v>
      </c>
      <c r="R18" s="73">
        <f t="shared" si="5"/>
        <v>1.8003696098562629</v>
      </c>
      <c r="S18" s="407" t="s">
        <v>410</v>
      </c>
      <c r="T18" s="71">
        <f>D18</f>
        <v>65000</v>
      </c>
      <c r="U18" s="71"/>
      <c r="V18" s="72">
        <f t="shared" si="6"/>
        <v>-65000</v>
      </c>
      <c r="W18" s="73">
        <f t="shared" si="7"/>
        <v>-1</v>
      </c>
      <c r="X18" s="74"/>
    </row>
    <row r="19" spans="1:24" ht="29.45" customHeight="1" x14ac:dyDescent="0.2">
      <c r="A19" s="111">
        <v>13000</v>
      </c>
      <c r="B19" s="118" t="s">
        <v>157</v>
      </c>
      <c r="C19" s="114">
        <f>C5-C16</f>
        <v>1064131</v>
      </c>
      <c r="D19" s="388">
        <f>D5-D16</f>
        <v>-133925</v>
      </c>
      <c r="E19" s="114">
        <f>E5-E16</f>
        <v>-369450</v>
      </c>
      <c r="F19" s="114">
        <f>F5-F16</f>
        <v>-448378</v>
      </c>
      <c r="G19" s="115">
        <f t="shared" si="0"/>
        <v>-78928</v>
      </c>
      <c r="H19" s="29">
        <f t="shared" si="1"/>
        <v>-0.2136364866693734</v>
      </c>
      <c r="I19" s="244"/>
      <c r="J19" s="388">
        <f>J5-J16</f>
        <v>4977</v>
      </c>
      <c r="K19" s="313">
        <f>K5-K16</f>
        <v>-387688</v>
      </c>
      <c r="L19" s="115">
        <f t="shared" si="2"/>
        <v>-392665</v>
      </c>
      <c r="M19" s="29">
        <f t="shared" si="3"/>
        <v>-78.895921237693386</v>
      </c>
      <c r="N19" s="244"/>
      <c r="O19" s="388">
        <f>O5-O16</f>
        <v>336641</v>
      </c>
      <c r="P19" s="114">
        <f>P5-P16</f>
        <v>-178711</v>
      </c>
      <c r="Q19" s="115">
        <f t="shared" si="4"/>
        <v>-515352</v>
      </c>
      <c r="R19" s="29">
        <f t="shared" si="5"/>
        <v>-1.5308652243784922</v>
      </c>
      <c r="S19" s="244"/>
      <c r="T19" s="114">
        <f>T5-T16</f>
        <v>-133925</v>
      </c>
      <c r="U19" s="114">
        <f>U5-U16</f>
        <v>0</v>
      </c>
      <c r="V19" s="115">
        <f t="shared" si="6"/>
        <v>133925</v>
      </c>
      <c r="W19" s="29">
        <f t="shared" si="7"/>
        <v>1</v>
      </c>
      <c r="X19" s="244"/>
    </row>
    <row r="20" spans="1:24" ht="15.6" customHeight="1" x14ac:dyDescent="0.2">
      <c r="A20" s="237" t="s">
        <v>163</v>
      </c>
      <c r="B20" s="468" t="s">
        <v>159</v>
      </c>
      <c r="C20" s="468"/>
      <c r="D20" s="468"/>
      <c r="E20" s="468"/>
      <c r="F20" s="468"/>
      <c r="G20" s="468"/>
      <c r="H20" s="241" t="str">
        <f t="shared" si="1"/>
        <v>-</v>
      </c>
      <c r="I20" s="239"/>
      <c r="J20" s="399"/>
      <c r="K20" s="314"/>
      <c r="L20" s="240"/>
      <c r="M20" s="241" t="str">
        <f t="shared" si="3"/>
        <v>-</v>
      </c>
      <c r="N20" s="239"/>
      <c r="O20" s="399"/>
      <c r="P20" s="240"/>
      <c r="Q20" s="240"/>
      <c r="R20" s="241" t="str">
        <f t="shared" si="5"/>
        <v>-</v>
      </c>
      <c r="S20" s="239"/>
      <c r="T20" s="240"/>
      <c r="U20" s="240"/>
      <c r="V20" s="240"/>
      <c r="W20" s="241" t="str">
        <f t="shared" si="7"/>
        <v>-</v>
      </c>
      <c r="X20" s="239"/>
    </row>
    <row r="21" spans="1:24" ht="15.6" customHeight="1" x14ac:dyDescent="0.2">
      <c r="A21" s="119">
        <v>14000</v>
      </c>
      <c r="B21" s="120" t="s">
        <v>188</v>
      </c>
      <c r="C21" s="121">
        <f>C22+C23+C24+C25+C26</f>
        <v>0</v>
      </c>
      <c r="D21" s="389">
        <f t="shared" ref="D21:F21" si="12">D22+D23+D24+D25+D26</f>
        <v>0</v>
      </c>
      <c r="E21" s="121">
        <f t="shared" si="12"/>
        <v>0</v>
      </c>
      <c r="F21" s="121">
        <f t="shared" si="12"/>
        <v>0</v>
      </c>
      <c r="G21" s="122">
        <f t="shared" ref="G21:G30" si="13">F21-E21</f>
        <v>0</v>
      </c>
      <c r="H21" s="29" t="str">
        <f t="shared" si="1"/>
        <v>-</v>
      </c>
      <c r="I21" s="243"/>
      <c r="J21" s="389">
        <f t="shared" ref="J21:K21" si="14">J22+J23+J24+J25+J26</f>
        <v>0</v>
      </c>
      <c r="K21" s="316">
        <f t="shared" si="14"/>
        <v>0</v>
      </c>
      <c r="L21" s="122">
        <f t="shared" ref="L21:L34" si="15">K21-J21</f>
        <v>0</v>
      </c>
      <c r="M21" s="29" t="str">
        <f t="shared" si="3"/>
        <v>-</v>
      </c>
      <c r="N21" s="243"/>
      <c r="O21" s="389">
        <f t="shared" ref="O21:P21" si="16">O22+O23+O24+O25+O26</f>
        <v>0</v>
      </c>
      <c r="P21" s="121">
        <f t="shared" si="16"/>
        <v>0</v>
      </c>
      <c r="Q21" s="122">
        <f t="shared" ref="Q21:Q34" si="17">P21-O21</f>
        <v>0</v>
      </c>
      <c r="R21" s="29" t="str">
        <f t="shared" si="5"/>
        <v>-</v>
      </c>
      <c r="S21" s="243"/>
      <c r="T21" s="121">
        <f t="shared" ref="T21:U21" si="18">T22+T23+T24+T25+T26</f>
        <v>0</v>
      </c>
      <c r="U21" s="121">
        <f t="shared" si="18"/>
        <v>0</v>
      </c>
      <c r="V21" s="122">
        <f t="shared" ref="V21:V34" si="19">U21-T21</f>
        <v>0</v>
      </c>
      <c r="W21" s="29" t="str">
        <f t="shared" si="7"/>
        <v>-</v>
      </c>
      <c r="X21" s="243"/>
    </row>
    <row r="22" spans="1:24" ht="31.5" customHeight="1" x14ac:dyDescent="0.2">
      <c r="A22" s="35">
        <v>14100</v>
      </c>
      <c r="B22" s="82" t="s">
        <v>184</v>
      </c>
      <c r="C22" s="14"/>
      <c r="D22" s="390"/>
      <c r="E22" s="14"/>
      <c r="F22" s="14"/>
      <c r="G22" s="83">
        <f t="shared" si="13"/>
        <v>0</v>
      </c>
      <c r="H22" s="23" t="str">
        <f t="shared" si="1"/>
        <v>-</v>
      </c>
      <c r="I22" s="84"/>
      <c r="J22" s="390"/>
      <c r="K22" s="284"/>
      <c r="L22" s="83">
        <f t="shared" si="15"/>
        <v>0</v>
      </c>
      <c r="M22" s="23" t="str">
        <f t="shared" si="3"/>
        <v>-</v>
      </c>
      <c r="N22" s="84"/>
      <c r="O22" s="390"/>
      <c r="P22" s="14"/>
      <c r="Q22" s="83">
        <f t="shared" si="17"/>
        <v>0</v>
      </c>
      <c r="R22" s="23" t="str">
        <f t="shared" si="5"/>
        <v>-</v>
      </c>
      <c r="S22" s="84"/>
      <c r="T22" s="14"/>
      <c r="U22" s="14"/>
      <c r="V22" s="83">
        <f t="shared" si="19"/>
        <v>0</v>
      </c>
      <c r="W22" s="23" t="str">
        <f t="shared" si="7"/>
        <v>-</v>
      </c>
      <c r="X22" s="84"/>
    </row>
    <row r="23" spans="1:24" ht="30.95" customHeight="1" x14ac:dyDescent="0.2">
      <c r="A23" s="35">
        <v>14200</v>
      </c>
      <c r="B23" s="82" t="s">
        <v>160</v>
      </c>
      <c r="C23" s="14"/>
      <c r="D23" s="390"/>
      <c r="E23" s="14"/>
      <c r="F23" s="14"/>
      <c r="G23" s="83">
        <f t="shared" si="13"/>
        <v>0</v>
      </c>
      <c r="H23" s="23" t="str">
        <f t="shared" si="1"/>
        <v>-</v>
      </c>
      <c r="I23" s="84"/>
      <c r="J23" s="390"/>
      <c r="K23" s="284"/>
      <c r="L23" s="83">
        <f t="shared" si="15"/>
        <v>0</v>
      </c>
      <c r="M23" s="23" t="str">
        <f t="shared" si="3"/>
        <v>-</v>
      </c>
      <c r="N23" s="84"/>
      <c r="O23" s="390"/>
      <c r="P23" s="14"/>
      <c r="Q23" s="83">
        <f t="shared" si="17"/>
        <v>0</v>
      </c>
      <c r="R23" s="23" t="str">
        <f t="shared" si="5"/>
        <v>-</v>
      </c>
      <c r="S23" s="84"/>
      <c r="T23" s="14"/>
      <c r="U23" s="14"/>
      <c r="V23" s="83">
        <f t="shared" si="19"/>
        <v>0</v>
      </c>
      <c r="W23" s="23" t="str">
        <f t="shared" si="7"/>
        <v>-</v>
      </c>
      <c r="X23" s="84"/>
    </row>
    <row r="24" spans="1:24" ht="15.6" customHeight="1" x14ac:dyDescent="0.2">
      <c r="A24" s="35">
        <v>14300</v>
      </c>
      <c r="B24" s="12" t="s">
        <v>162</v>
      </c>
      <c r="C24" s="14"/>
      <c r="D24" s="390"/>
      <c r="E24" s="14"/>
      <c r="F24" s="14"/>
      <c r="G24" s="83">
        <f t="shared" si="13"/>
        <v>0</v>
      </c>
      <c r="H24" s="23" t="str">
        <f t="shared" si="1"/>
        <v>-</v>
      </c>
      <c r="I24" s="84"/>
      <c r="J24" s="390"/>
      <c r="K24" s="284"/>
      <c r="L24" s="83">
        <f t="shared" si="15"/>
        <v>0</v>
      </c>
      <c r="M24" s="23" t="str">
        <f t="shared" si="3"/>
        <v>-</v>
      </c>
      <c r="N24" s="84"/>
      <c r="O24" s="390"/>
      <c r="P24" s="14"/>
      <c r="Q24" s="83">
        <f t="shared" si="17"/>
        <v>0</v>
      </c>
      <c r="R24" s="23" t="str">
        <f t="shared" si="5"/>
        <v>-</v>
      </c>
      <c r="S24" s="84"/>
      <c r="T24" s="14"/>
      <c r="U24" s="14"/>
      <c r="V24" s="83">
        <f t="shared" si="19"/>
        <v>0</v>
      </c>
      <c r="W24" s="23" t="str">
        <f t="shared" si="7"/>
        <v>-</v>
      </c>
      <c r="X24" s="84"/>
    </row>
    <row r="25" spans="1:24" ht="15.6" customHeight="1" x14ac:dyDescent="0.2">
      <c r="A25" s="35">
        <v>14400</v>
      </c>
      <c r="B25" s="12" t="s">
        <v>189</v>
      </c>
      <c r="C25" s="14"/>
      <c r="D25" s="390"/>
      <c r="E25" s="14"/>
      <c r="F25" s="14"/>
      <c r="G25" s="83">
        <f t="shared" si="13"/>
        <v>0</v>
      </c>
      <c r="H25" s="23" t="str">
        <f t="shared" si="1"/>
        <v>-</v>
      </c>
      <c r="I25" s="84"/>
      <c r="J25" s="390"/>
      <c r="K25" s="284"/>
      <c r="L25" s="83">
        <f t="shared" si="15"/>
        <v>0</v>
      </c>
      <c r="M25" s="23" t="str">
        <f t="shared" si="3"/>
        <v>-</v>
      </c>
      <c r="N25" s="84"/>
      <c r="O25" s="390"/>
      <c r="P25" s="14"/>
      <c r="Q25" s="83">
        <f t="shared" si="17"/>
        <v>0</v>
      </c>
      <c r="R25" s="23" t="str">
        <f t="shared" si="5"/>
        <v>-</v>
      </c>
      <c r="S25" s="84"/>
      <c r="T25" s="14"/>
      <c r="U25" s="14"/>
      <c r="V25" s="83">
        <f t="shared" si="19"/>
        <v>0</v>
      </c>
      <c r="W25" s="23" t="str">
        <f t="shared" si="7"/>
        <v>-</v>
      </c>
      <c r="X25" s="84"/>
    </row>
    <row r="26" spans="1:24" ht="15.6" customHeight="1" x14ac:dyDescent="0.2">
      <c r="A26" s="35">
        <v>14500</v>
      </c>
      <c r="B26" s="12" t="s">
        <v>190</v>
      </c>
      <c r="C26" s="14"/>
      <c r="D26" s="390"/>
      <c r="E26" s="14"/>
      <c r="F26" s="14"/>
      <c r="G26" s="83">
        <f t="shared" si="13"/>
        <v>0</v>
      </c>
      <c r="H26" s="23" t="str">
        <f t="shared" si="1"/>
        <v>-</v>
      </c>
      <c r="I26" s="84"/>
      <c r="J26" s="390"/>
      <c r="K26" s="284"/>
      <c r="L26" s="83">
        <f t="shared" si="15"/>
        <v>0</v>
      </c>
      <c r="M26" s="23" t="str">
        <f t="shared" si="3"/>
        <v>-</v>
      </c>
      <c r="N26" s="84"/>
      <c r="O26" s="390"/>
      <c r="P26" s="14"/>
      <c r="Q26" s="83">
        <f t="shared" si="17"/>
        <v>0</v>
      </c>
      <c r="R26" s="23" t="str">
        <f t="shared" si="5"/>
        <v>-</v>
      </c>
      <c r="S26" s="84"/>
      <c r="T26" s="14"/>
      <c r="U26" s="14"/>
      <c r="V26" s="83">
        <f t="shared" si="19"/>
        <v>0</v>
      </c>
      <c r="W26" s="23" t="str">
        <f t="shared" si="7"/>
        <v>-</v>
      </c>
      <c r="X26" s="84"/>
    </row>
    <row r="27" spans="1:24" ht="15.6" customHeight="1" x14ac:dyDescent="0.2">
      <c r="A27" s="119">
        <v>15000</v>
      </c>
      <c r="B27" s="123" t="s">
        <v>191</v>
      </c>
      <c r="C27" s="121">
        <f>C28+C29+C33</f>
        <v>244581</v>
      </c>
      <c r="D27" s="389" t="e">
        <f>D28+D29+D33</f>
        <v>#REF!</v>
      </c>
      <c r="E27" s="121">
        <f>E28+E29+E33</f>
        <v>12566</v>
      </c>
      <c r="F27" s="121">
        <f>F28+F29+F33</f>
        <v>14029</v>
      </c>
      <c r="G27" s="122">
        <f t="shared" si="13"/>
        <v>1463</v>
      </c>
      <c r="H27" s="29">
        <f t="shared" si="1"/>
        <v>0.11642527455037402</v>
      </c>
      <c r="I27" s="243"/>
      <c r="J27" s="389" t="e">
        <f>J28+J29+J33</f>
        <v>#REF!</v>
      </c>
      <c r="K27" s="316">
        <f>K28+K29+K33</f>
        <v>171640</v>
      </c>
      <c r="L27" s="122" t="e">
        <f t="shared" si="15"/>
        <v>#REF!</v>
      </c>
      <c r="M27" s="29" t="str">
        <f t="shared" si="3"/>
        <v>-</v>
      </c>
      <c r="N27" s="243"/>
      <c r="O27" s="389" t="e">
        <f>O28+O29+O33</f>
        <v>#REF!</v>
      </c>
      <c r="P27" s="121">
        <f>P28+P29+P33</f>
        <v>361177</v>
      </c>
      <c r="Q27" s="122" t="e">
        <f t="shared" si="17"/>
        <v>#REF!</v>
      </c>
      <c r="R27" s="29" t="str">
        <f t="shared" si="5"/>
        <v>-</v>
      </c>
      <c r="S27" s="243"/>
      <c r="T27" s="121" t="e">
        <f>T28+T29+T33</f>
        <v>#REF!</v>
      </c>
      <c r="U27" s="121">
        <f>U28+U29+U33</f>
        <v>0</v>
      </c>
      <c r="V27" s="122" t="e">
        <f t="shared" si="19"/>
        <v>#REF!</v>
      </c>
      <c r="W27" s="29" t="str">
        <f t="shared" si="7"/>
        <v>-</v>
      </c>
      <c r="X27" s="243"/>
    </row>
    <row r="28" spans="1:24" ht="31.5" customHeight="1" x14ac:dyDescent="0.2">
      <c r="A28" s="35">
        <v>15100</v>
      </c>
      <c r="B28" s="82" t="s">
        <v>183</v>
      </c>
      <c r="C28" s="14"/>
      <c r="D28" s="390"/>
      <c r="E28" s="14"/>
      <c r="F28" s="14"/>
      <c r="G28" s="83">
        <f t="shared" si="13"/>
        <v>0</v>
      </c>
      <c r="H28" s="23" t="str">
        <f t="shared" si="1"/>
        <v>-</v>
      </c>
      <c r="I28" s="85"/>
      <c r="J28" s="390"/>
      <c r="K28" s="284"/>
      <c r="L28" s="83">
        <f t="shared" si="15"/>
        <v>0</v>
      </c>
      <c r="M28" s="23" t="str">
        <f t="shared" si="3"/>
        <v>-</v>
      </c>
      <c r="N28" s="85"/>
      <c r="O28" s="390"/>
      <c r="P28" s="14"/>
      <c r="Q28" s="83">
        <f t="shared" si="17"/>
        <v>0</v>
      </c>
      <c r="R28" s="23" t="str">
        <f t="shared" si="5"/>
        <v>-</v>
      </c>
      <c r="S28" s="408" t="s">
        <v>411</v>
      </c>
      <c r="T28" s="14"/>
      <c r="U28" s="14"/>
      <c r="V28" s="83">
        <f t="shared" si="19"/>
        <v>0</v>
      </c>
      <c r="W28" s="23" t="str">
        <f t="shared" si="7"/>
        <v>-</v>
      </c>
      <c r="X28" s="85"/>
    </row>
    <row r="29" spans="1:24" ht="15.6" customHeight="1" x14ac:dyDescent="0.2">
      <c r="A29" s="35">
        <v>15200</v>
      </c>
      <c r="B29" s="82" t="s">
        <v>287</v>
      </c>
      <c r="C29" s="86">
        <f>C30+C31+C32</f>
        <v>244581</v>
      </c>
      <c r="D29" s="391" t="e">
        <f>D30+D31+D32</f>
        <v>#REF!</v>
      </c>
      <c r="E29" s="86">
        <v>12566</v>
      </c>
      <c r="F29" s="86">
        <f>F30+F31+F32</f>
        <v>14029</v>
      </c>
      <c r="G29" s="87">
        <f t="shared" si="13"/>
        <v>1463</v>
      </c>
      <c r="H29" s="88">
        <f t="shared" si="1"/>
        <v>0.11642527455037402</v>
      </c>
      <c r="I29" s="81"/>
      <c r="J29" s="391" t="e">
        <f>J30+J31+J32</f>
        <v>#REF!</v>
      </c>
      <c r="K29" s="317">
        <f>K30+K31+K32</f>
        <v>171640</v>
      </c>
      <c r="L29" s="87" t="e">
        <f t="shared" si="15"/>
        <v>#REF!</v>
      </c>
      <c r="M29" s="88" t="str">
        <f t="shared" si="3"/>
        <v>-</v>
      </c>
      <c r="N29" s="81"/>
      <c r="O29" s="391" t="e">
        <f>O30+O31+O32</f>
        <v>#REF!</v>
      </c>
      <c r="P29" s="86">
        <f>P30+P31+P32</f>
        <v>361177</v>
      </c>
      <c r="Q29" s="87" t="e">
        <f t="shared" si="17"/>
        <v>#REF!</v>
      </c>
      <c r="R29" s="88" t="str">
        <f t="shared" si="5"/>
        <v>-</v>
      </c>
      <c r="S29" s="81"/>
      <c r="T29" s="86" t="e">
        <f>T30+T31+T32</f>
        <v>#REF!</v>
      </c>
      <c r="U29" s="86">
        <f>U30+U31+U32</f>
        <v>0</v>
      </c>
      <c r="V29" s="87" t="e">
        <f t="shared" si="19"/>
        <v>#REF!</v>
      </c>
      <c r="W29" s="88" t="str">
        <f t="shared" si="7"/>
        <v>-</v>
      </c>
      <c r="X29" s="81"/>
    </row>
    <row r="30" spans="1:24" ht="15.6" customHeight="1" x14ac:dyDescent="0.2">
      <c r="A30" s="89">
        <v>15210</v>
      </c>
      <c r="B30" s="90" t="s">
        <v>187</v>
      </c>
      <c r="C30" s="91">
        <v>489</v>
      </c>
      <c r="D30" s="392" t="e">
        <f>#REF!</f>
        <v>#REF!</v>
      </c>
      <c r="E30" s="91" t="e">
        <f>#REF!</f>
        <v>#REF!</v>
      </c>
      <c r="F30" s="91">
        <v>480</v>
      </c>
      <c r="G30" s="92" t="e">
        <f t="shared" si="13"/>
        <v>#REF!</v>
      </c>
      <c r="H30" s="73" t="str">
        <f t="shared" si="1"/>
        <v>-</v>
      </c>
      <c r="I30" s="93"/>
      <c r="J30" s="392" t="e">
        <f>#REF!</f>
        <v>#REF!</v>
      </c>
      <c r="K30" s="285">
        <v>480</v>
      </c>
      <c r="L30" s="92" t="e">
        <f t="shared" si="15"/>
        <v>#REF!</v>
      </c>
      <c r="M30" s="73" t="str">
        <f t="shared" si="3"/>
        <v>-</v>
      </c>
      <c r="N30" s="403" t="s">
        <v>395</v>
      </c>
      <c r="O30" s="392" t="e">
        <f>#REF!</f>
        <v>#REF!</v>
      </c>
      <c r="P30" s="91">
        <v>480</v>
      </c>
      <c r="Q30" s="92" t="e">
        <f t="shared" si="17"/>
        <v>#REF!</v>
      </c>
      <c r="R30" s="73" t="str">
        <f t="shared" si="5"/>
        <v>-</v>
      </c>
      <c r="S30" s="93"/>
      <c r="T30" s="91" t="e">
        <f>D30</f>
        <v>#REF!</v>
      </c>
      <c r="U30" s="91"/>
      <c r="V30" s="92" t="e">
        <f t="shared" si="19"/>
        <v>#REF!</v>
      </c>
      <c r="W30" s="73" t="str">
        <f t="shared" si="7"/>
        <v>-</v>
      </c>
      <c r="X30" s="93"/>
    </row>
    <row r="31" spans="1:24" ht="15.6" customHeight="1" x14ac:dyDescent="0.2">
      <c r="A31" s="89">
        <v>15220</v>
      </c>
      <c r="B31" s="90" t="s">
        <v>185</v>
      </c>
      <c r="C31" s="91">
        <v>150823</v>
      </c>
      <c r="D31" s="392" t="e">
        <f>#REF!</f>
        <v>#REF!</v>
      </c>
      <c r="E31" s="91" t="e">
        <f>#REF!</f>
        <v>#REF!</v>
      </c>
      <c r="F31" s="91">
        <v>11625</v>
      </c>
      <c r="G31" s="92" t="e">
        <f t="shared" ref="G31:G34" si="20">F31-E31</f>
        <v>#REF!</v>
      </c>
      <c r="H31" s="73" t="str">
        <f t="shared" ref="H31:H46" si="21">IFERROR(G31/ABS(E31), "-")</f>
        <v>-</v>
      </c>
      <c r="I31" s="93"/>
      <c r="J31" s="392" t="e">
        <f>#REF!</f>
        <v>#REF!</v>
      </c>
      <c r="K31" s="285">
        <v>38262</v>
      </c>
      <c r="L31" s="92" t="e">
        <f t="shared" si="15"/>
        <v>#REF!</v>
      </c>
      <c r="M31" s="73" t="str">
        <f t="shared" si="3"/>
        <v>-</v>
      </c>
      <c r="N31" s="93"/>
      <c r="O31" s="392" t="e">
        <f>#REF!</f>
        <v>#REF!</v>
      </c>
      <c r="P31" s="91">
        <v>42027</v>
      </c>
      <c r="Q31" s="92" t="e">
        <f t="shared" si="17"/>
        <v>#REF!</v>
      </c>
      <c r="R31" s="73" t="str">
        <f t="shared" si="5"/>
        <v>-</v>
      </c>
      <c r="S31" s="93"/>
      <c r="T31" s="91" t="e">
        <f>D31</f>
        <v>#REF!</v>
      </c>
      <c r="U31" s="91"/>
      <c r="V31" s="92" t="e">
        <f t="shared" si="19"/>
        <v>#REF!</v>
      </c>
      <c r="W31" s="73" t="str">
        <f t="shared" si="7"/>
        <v>-</v>
      </c>
      <c r="X31" s="93"/>
    </row>
    <row r="32" spans="1:24" ht="15.6" customHeight="1" x14ac:dyDescent="0.2">
      <c r="A32" s="89">
        <v>15230</v>
      </c>
      <c r="B32" s="90" t="s">
        <v>186</v>
      </c>
      <c r="C32" s="91">
        <v>93269</v>
      </c>
      <c r="D32" s="392" t="e">
        <f>#REF!</f>
        <v>#REF!</v>
      </c>
      <c r="E32" s="91">
        <v>0</v>
      </c>
      <c r="F32" s="91">
        <v>1924</v>
      </c>
      <c r="G32" s="92">
        <f t="shared" si="20"/>
        <v>1924</v>
      </c>
      <c r="H32" s="73" t="str">
        <f t="shared" si="21"/>
        <v>-</v>
      </c>
      <c r="I32" s="94"/>
      <c r="J32" s="392" t="e">
        <f>#REF!</f>
        <v>#REF!</v>
      </c>
      <c r="K32" s="285">
        <v>132898</v>
      </c>
      <c r="L32" s="92" t="e">
        <f t="shared" si="15"/>
        <v>#REF!</v>
      </c>
      <c r="M32" s="73" t="str">
        <f t="shared" si="3"/>
        <v>-</v>
      </c>
      <c r="N32" s="94"/>
      <c r="O32" s="392" t="e">
        <f>#REF!</f>
        <v>#REF!</v>
      </c>
      <c r="P32" s="91">
        <v>318670</v>
      </c>
      <c r="Q32" s="92" t="e">
        <f t="shared" si="17"/>
        <v>#REF!</v>
      </c>
      <c r="R32" s="73" t="str">
        <f t="shared" si="5"/>
        <v>-</v>
      </c>
      <c r="S32" s="94"/>
      <c r="T32" s="91" t="e">
        <f>D32</f>
        <v>#REF!</v>
      </c>
      <c r="U32" s="91"/>
      <c r="V32" s="92" t="e">
        <f t="shared" si="19"/>
        <v>#REF!</v>
      </c>
      <c r="W32" s="73" t="str">
        <f t="shared" si="7"/>
        <v>-</v>
      </c>
      <c r="X32" s="94"/>
    </row>
    <row r="33" spans="1:24" ht="15.6" customHeight="1" x14ac:dyDescent="0.2">
      <c r="A33" s="35">
        <v>15300</v>
      </c>
      <c r="B33" s="82" t="s">
        <v>161</v>
      </c>
      <c r="C33" s="14">
        <v>0</v>
      </c>
      <c r="D33" s="390">
        <v>0</v>
      </c>
      <c r="E33" s="14">
        <v>0</v>
      </c>
      <c r="F33" s="14">
        <v>0</v>
      </c>
      <c r="G33" s="83">
        <f t="shared" si="20"/>
        <v>0</v>
      </c>
      <c r="H33" s="23" t="str">
        <f t="shared" si="21"/>
        <v>-</v>
      </c>
      <c r="I33" s="94"/>
      <c r="J33" s="390">
        <v>0</v>
      </c>
      <c r="K33" s="284">
        <v>0</v>
      </c>
      <c r="L33" s="83">
        <f t="shared" si="15"/>
        <v>0</v>
      </c>
      <c r="M33" s="23" t="str">
        <f t="shared" si="3"/>
        <v>-</v>
      </c>
      <c r="N33" s="94"/>
      <c r="O33" s="390">
        <v>0</v>
      </c>
      <c r="P33" s="14">
        <v>0</v>
      </c>
      <c r="Q33" s="83">
        <f t="shared" si="17"/>
        <v>0</v>
      </c>
      <c r="R33" s="23" t="str">
        <f t="shared" si="5"/>
        <v>-</v>
      </c>
      <c r="S33" s="94"/>
      <c r="T33" s="14">
        <v>0</v>
      </c>
      <c r="U33" s="14">
        <v>0</v>
      </c>
      <c r="V33" s="83">
        <f t="shared" si="19"/>
        <v>0</v>
      </c>
      <c r="W33" s="23" t="str">
        <f t="shared" si="7"/>
        <v>-</v>
      </c>
      <c r="X33" s="94"/>
    </row>
    <row r="34" spans="1:24" ht="30.6" customHeight="1" x14ac:dyDescent="0.2">
      <c r="A34" s="124">
        <v>16000</v>
      </c>
      <c r="B34" s="125" t="s">
        <v>197</v>
      </c>
      <c r="C34" s="126">
        <f>C21-C27</f>
        <v>-244581</v>
      </c>
      <c r="D34" s="393" t="e">
        <f>D21-D27</f>
        <v>#REF!</v>
      </c>
      <c r="E34" s="126">
        <f>E21-E27</f>
        <v>-12566</v>
      </c>
      <c r="F34" s="126">
        <f>F21-F27</f>
        <v>-14029</v>
      </c>
      <c r="G34" s="127">
        <f t="shared" si="20"/>
        <v>-1463</v>
      </c>
      <c r="H34" s="117">
        <f t="shared" si="21"/>
        <v>-0.11642527455037402</v>
      </c>
      <c r="I34" s="242"/>
      <c r="J34" s="384" t="e">
        <f>J21-J27</f>
        <v>#REF!</v>
      </c>
      <c r="K34" s="286">
        <f>K21-K27</f>
        <v>-171640</v>
      </c>
      <c r="L34" s="116" t="e">
        <f t="shared" si="15"/>
        <v>#REF!</v>
      </c>
      <c r="M34" s="117" t="str">
        <f t="shared" si="3"/>
        <v>-</v>
      </c>
      <c r="N34" s="242"/>
      <c r="O34" s="384" t="e">
        <f>O21-O27</f>
        <v>#REF!</v>
      </c>
      <c r="P34" s="113">
        <f>P21-P27</f>
        <v>-361177</v>
      </c>
      <c r="Q34" s="116" t="e">
        <f t="shared" si="17"/>
        <v>#REF!</v>
      </c>
      <c r="R34" s="117" t="str">
        <f t="shared" si="5"/>
        <v>-</v>
      </c>
      <c r="S34" s="242"/>
      <c r="T34" s="113" t="e">
        <f>T21-T27</f>
        <v>#REF!</v>
      </c>
      <c r="U34" s="113">
        <f>U21-U27</f>
        <v>0</v>
      </c>
      <c r="V34" s="116" t="e">
        <f t="shared" si="19"/>
        <v>#REF!</v>
      </c>
      <c r="W34" s="117" t="str">
        <f t="shared" si="7"/>
        <v>-</v>
      </c>
      <c r="X34" s="242"/>
    </row>
    <row r="35" spans="1:24" ht="15.6" customHeight="1" x14ac:dyDescent="0.2">
      <c r="A35" s="237" t="s">
        <v>182</v>
      </c>
      <c r="B35" s="468" t="s">
        <v>164</v>
      </c>
      <c r="C35" s="468"/>
      <c r="D35" s="468"/>
      <c r="E35" s="468"/>
      <c r="F35" s="468"/>
      <c r="G35" s="468"/>
      <c r="H35" s="241" t="str">
        <f t="shared" si="21"/>
        <v>-</v>
      </c>
      <c r="I35" s="239"/>
      <c r="J35" s="399"/>
      <c r="K35" s="314"/>
      <c r="L35" s="240"/>
      <c r="M35" s="241" t="str">
        <f t="shared" si="3"/>
        <v>-</v>
      </c>
      <c r="N35" s="239"/>
      <c r="O35" s="399"/>
      <c r="P35" s="240"/>
      <c r="Q35" s="240"/>
      <c r="R35" s="241" t="str">
        <f t="shared" si="5"/>
        <v>-</v>
      </c>
      <c r="S35" s="239"/>
      <c r="T35" s="240"/>
      <c r="U35" s="240"/>
      <c r="V35" s="240"/>
      <c r="W35" s="241" t="str">
        <f t="shared" si="7"/>
        <v>-</v>
      </c>
      <c r="X35" s="239"/>
    </row>
    <row r="36" spans="1:24" ht="15.6" customHeight="1" x14ac:dyDescent="0.2">
      <c r="A36" s="128">
        <v>17000</v>
      </c>
      <c r="B36" s="129" t="s">
        <v>193</v>
      </c>
      <c r="C36" s="130">
        <f>C37+C38+C39</f>
        <v>2145</v>
      </c>
      <c r="D36" s="394">
        <f t="shared" ref="D36:F36" si="22">D37+D38+D39</f>
        <v>700</v>
      </c>
      <c r="E36" s="130">
        <f t="shared" si="22"/>
        <v>0</v>
      </c>
      <c r="F36" s="130">
        <f t="shared" si="22"/>
        <v>130</v>
      </c>
      <c r="G36" s="131">
        <f t="shared" ref="G36:G39" si="23">F36-E36</f>
        <v>130</v>
      </c>
      <c r="H36" s="117" t="str">
        <f t="shared" si="21"/>
        <v>-</v>
      </c>
      <c r="I36" s="242"/>
      <c r="J36" s="384">
        <f t="shared" ref="J36:K36" si="24">J37+J38+J39</f>
        <v>200</v>
      </c>
      <c r="K36" s="286">
        <f t="shared" si="24"/>
        <v>130</v>
      </c>
      <c r="L36" s="116">
        <f t="shared" ref="L36:L54" si="25">K36-J36</f>
        <v>-70</v>
      </c>
      <c r="M36" s="117">
        <f t="shared" si="3"/>
        <v>-0.35</v>
      </c>
      <c r="N36" s="242"/>
      <c r="O36" s="384">
        <f t="shared" ref="O36:P36" si="26">O37+O38+O39</f>
        <v>500</v>
      </c>
      <c r="P36" s="113">
        <f t="shared" si="26"/>
        <v>10130</v>
      </c>
      <c r="Q36" s="116">
        <f t="shared" ref="Q36:Q54" si="27">P36-O36</f>
        <v>9630</v>
      </c>
      <c r="R36" s="117">
        <f t="shared" si="5"/>
        <v>19.260000000000002</v>
      </c>
      <c r="S36" s="242"/>
      <c r="T36" s="113">
        <f t="shared" ref="T36:U36" si="28">T37+T38+T39</f>
        <v>700</v>
      </c>
      <c r="U36" s="113">
        <f t="shared" si="28"/>
        <v>0</v>
      </c>
      <c r="V36" s="116">
        <f t="shared" ref="V36:V54" si="29">U36-T36</f>
        <v>-700</v>
      </c>
      <c r="W36" s="117">
        <f t="shared" si="7"/>
        <v>-1</v>
      </c>
      <c r="X36" s="242"/>
    </row>
    <row r="37" spans="1:24" ht="30.6" customHeight="1" x14ac:dyDescent="0.2">
      <c r="A37" s="95">
        <v>17100</v>
      </c>
      <c r="B37" s="96" t="s">
        <v>166</v>
      </c>
      <c r="C37" s="97"/>
      <c r="D37" s="395"/>
      <c r="E37" s="97"/>
      <c r="F37" s="97"/>
      <c r="G37" s="98">
        <f t="shared" si="23"/>
        <v>0</v>
      </c>
      <c r="H37" s="23" t="str">
        <f t="shared" si="21"/>
        <v>-</v>
      </c>
      <c r="I37" s="99"/>
      <c r="J37" s="395"/>
      <c r="K37" s="287"/>
      <c r="L37" s="98">
        <f t="shared" si="25"/>
        <v>0</v>
      </c>
      <c r="M37" s="23" t="str">
        <f t="shared" si="3"/>
        <v>-</v>
      </c>
      <c r="N37" s="99"/>
      <c r="O37" s="395"/>
      <c r="P37" s="97"/>
      <c r="Q37" s="98">
        <f t="shared" si="27"/>
        <v>0</v>
      </c>
      <c r="R37" s="23" t="str">
        <f t="shared" si="5"/>
        <v>-</v>
      </c>
      <c r="S37" s="99"/>
      <c r="T37" s="97"/>
      <c r="U37" s="97"/>
      <c r="V37" s="98">
        <f t="shared" si="29"/>
        <v>0</v>
      </c>
      <c r="W37" s="23" t="str">
        <f t="shared" si="7"/>
        <v>-</v>
      </c>
      <c r="X37" s="99"/>
    </row>
    <row r="38" spans="1:24" ht="15.6" customHeight="1" x14ac:dyDescent="0.2">
      <c r="A38" s="95">
        <v>17200</v>
      </c>
      <c r="B38" s="96" t="s">
        <v>192</v>
      </c>
      <c r="C38" s="97"/>
      <c r="D38" s="395"/>
      <c r="E38" s="97"/>
      <c r="F38" s="97"/>
      <c r="G38" s="98">
        <f t="shared" si="23"/>
        <v>0</v>
      </c>
      <c r="H38" s="23" t="str">
        <f t="shared" si="21"/>
        <v>-</v>
      </c>
      <c r="I38" s="99"/>
      <c r="J38" s="395"/>
      <c r="K38" s="287"/>
      <c r="L38" s="98">
        <f t="shared" si="25"/>
        <v>0</v>
      </c>
      <c r="M38" s="23" t="str">
        <f t="shared" si="3"/>
        <v>-</v>
      </c>
      <c r="N38" s="99"/>
      <c r="O38" s="395"/>
      <c r="P38" s="97"/>
      <c r="Q38" s="98">
        <f t="shared" si="27"/>
        <v>0</v>
      </c>
      <c r="R38" s="23" t="str">
        <f t="shared" si="5"/>
        <v>-</v>
      </c>
      <c r="S38" s="99"/>
      <c r="T38" s="97"/>
      <c r="U38" s="97"/>
      <c r="V38" s="98">
        <f t="shared" si="29"/>
        <v>0</v>
      </c>
      <c r="W38" s="23" t="str">
        <f t="shared" si="7"/>
        <v>-</v>
      </c>
      <c r="X38" s="99"/>
    </row>
    <row r="39" spans="1:24" ht="15.6" customHeight="1" x14ac:dyDescent="0.2">
      <c r="A39" s="61">
        <v>17300</v>
      </c>
      <c r="B39" s="62" t="s">
        <v>165</v>
      </c>
      <c r="C39" s="63">
        <v>2145</v>
      </c>
      <c r="D39" s="385">
        <v>700</v>
      </c>
      <c r="E39" s="63"/>
      <c r="F39" s="63">
        <v>130</v>
      </c>
      <c r="G39" s="64">
        <f t="shared" si="23"/>
        <v>130</v>
      </c>
      <c r="H39" s="65" t="str">
        <f t="shared" si="21"/>
        <v>-</v>
      </c>
      <c r="I39" s="134"/>
      <c r="J39" s="385">
        <v>200</v>
      </c>
      <c r="K39" s="315">
        <v>130</v>
      </c>
      <c r="L39" s="64">
        <f t="shared" si="25"/>
        <v>-70</v>
      </c>
      <c r="M39" s="65">
        <f t="shared" si="3"/>
        <v>-0.35</v>
      </c>
      <c r="N39" s="134"/>
      <c r="O39" s="385">
        <v>500</v>
      </c>
      <c r="P39" s="63">
        <v>10130</v>
      </c>
      <c r="Q39" s="64">
        <f t="shared" si="27"/>
        <v>9630</v>
      </c>
      <c r="R39" s="65">
        <f t="shared" si="5"/>
        <v>19.260000000000002</v>
      </c>
      <c r="S39" s="409" t="s">
        <v>412</v>
      </c>
      <c r="T39" s="63">
        <f>D39</f>
        <v>700</v>
      </c>
      <c r="U39" s="63"/>
      <c r="V39" s="64">
        <f t="shared" si="29"/>
        <v>-700</v>
      </c>
      <c r="W39" s="65">
        <f t="shared" si="7"/>
        <v>-1</v>
      </c>
      <c r="X39" s="100"/>
    </row>
    <row r="40" spans="1:24" ht="15.6" customHeight="1" x14ac:dyDescent="0.2">
      <c r="A40" s="132">
        <v>18000</v>
      </c>
      <c r="B40" s="123" t="s">
        <v>194</v>
      </c>
      <c r="C40" s="113">
        <f>C41+C42+C43</f>
        <v>0</v>
      </c>
      <c r="D40" s="384">
        <f t="shared" ref="D40:F40" si="30">D41+D42+D43</f>
        <v>0</v>
      </c>
      <c r="E40" s="113">
        <f t="shared" si="30"/>
        <v>0</v>
      </c>
      <c r="F40" s="113">
        <f t="shared" si="30"/>
        <v>0</v>
      </c>
      <c r="G40" s="116">
        <f t="shared" ref="G40:G54" si="31">F40-E40</f>
        <v>0</v>
      </c>
      <c r="H40" s="117" t="str">
        <f t="shared" si="21"/>
        <v>-</v>
      </c>
      <c r="I40" s="242"/>
      <c r="J40" s="384">
        <f t="shared" ref="J40:K40" si="32">J41+J42+J43</f>
        <v>0</v>
      </c>
      <c r="K40" s="286">
        <f t="shared" si="32"/>
        <v>0</v>
      </c>
      <c r="L40" s="116">
        <f t="shared" si="25"/>
        <v>0</v>
      </c>
      <c r="M40" s="117" t="str">
        <f t="shared" si="3"/>
        <v>-</v>
      </c>
      <c r="N40" s="242"/>
      <c r="O40" s="384">
        <f t="shared" ref="O40:P40" si="33">O41+O42+O43</f>
        <v>0</v>
      </c>
      <c r="P40" s="113">
        <f t="shared" si="33"/>
        <v>343060</v>
      </c>
      <c r="Q40" s="116">
        <f t="shared" si="27"/>
        <v>343060</v>
      </c>
      <c r="R40" s="117" t="str">
        <f t="shared" si="5"/>
        <v>-</v>
      </c>
      <c r="S40" s="242"/>
      <c r="T40" s="113">
        <f t="shared" ref="T40:U40" si="34">T41+T42+T43</f>
        <v>0</v>
      </c>
      <c r="U40" s="113">
        <f t="shared" si="34"/>
        <v>0</v>
      </c>
      <c r="V40" s="116">
        <f t="shared" si="29"/>
        <v>0</v>
      </c>
      <c r="W40" s="117" t="str">
        <f t="shared" si="7"/>
        <v>-</v>
      </c>
      <c r="X40" s="242"/>
    </row>
    <row r="41" spans="1:24" ht="15.6" customHeight="1" x14ac:dyDescent="0.2">
      <c r="A41" s="101">
        <v>18100</v>
      </c>
      <c r="B41" s="12" t="s">
        <v>195</v>
      </c>
      <c r="C41" s="97"/>
      <c r="D41" s="395"/>
      <c r="E41" s="97"/>
      <c r="F41" s="97"/>
      <c r="G41" s="98">
        <f t="shared" si="31"/>
        <v>0</v>
      </c>
      <c r="H41" s="23" t="str">
        <f t="shared" si="21"/>
        <v>-</v>
      </c>
      <c r="I41" s="102"/>
      <c r="J41" s="395"/>
      <c r="K41" s="287"/>
      <c r="L41" s="98">
        <f t="shared" si="25"/>
        <v>0</v>
      </c>
      <c r="M41" s="23" t="str">
        <f t="shared" si="3"/>
        <v>-</v>
      </c>
      <c r="N41" s="102"/>
      <c r="O41" s="395"/>
      <c r="P41" s="97"/>
      <c r="Q41" s="98">
        <f t="shared" si="27"/>
        <v>0</v>
      </c>
      <c r="R41" s="23" t="str">
        <f t="shared" si="5"/>
        <v>-</v>
      </c>
      <c r="S41" s="102"/>
      <c r="T41" s="97"/>
      <c r="U41" s="97"/>
      <c r="V41" s="98">
        <f t="shared" si="29"/>
        <v>0</v>
      </c>
      <c r="W41" s="23" t="str">
        <f t="shared" si="7"/>
        <v>-</v>
      </c>
      <c r="X41" s="102"/>
    </row>
    <row r="42" spans="1:24" ht="15.6" customHeight="1" x14ac:dyDescent="0.2">
      <c r="A42" s="101">
        <v>18200</v>
      </c>
      <c r="B42" s="12" t="s">
        <v>167</v>
      </c>
      <c r="C42" s="97"/>
      <c r="D42" s="395"/>
      <c r="E42" s="97"/>
      <c r="F42" s="97"/>
      <c r="G42" s="98">
        <f t="shared" si="31"/>
        <v>0</v>
      </c>
      <c r="H42" s="23" t="str">
        <f t="shared" si="21"/>
        <v>-</v>
      </c>
      <c r="I42" s="102"/>
      <c r="J42" s="395"/>
      <c r="K42" s="287"/>
      <c r="L42" s="98">
        <f t="shared" si="25"/>
        <v>0</v>
      </c>
      <c r="M42" s="23" t="str">
        <f t="shared" si="3"/>
        <v>-</v>
      </c>
      <c r="N42" s="102"/>
      <c r="O42" s="395"/>
      <c r="P42" s="97"/>
      <c r="Q42" s="98">
        <f t="shared" si="27"/>
        <v>0</v>
      </c>
      <c r="R42" s="23" t="str">
        <f t="shared" si="5"/>
        <v>-</v>
      </c>
      <c r="S42" s="102"/>
      <c r="T42" s="97"/>
      <c r="U42" s="97"/>
      <c r="V42" s="98">
        <f t="shared" si="29"/>
        <v>0</v>
      </c>
      <c r="W42" s="23" t="str">
        <f t="shared" si="7"/>
        <v>-</v>
      </c>
      <c r="X42" s="102"/>
    </row>
    <row r="43" spans="1:24" ht="15.6" customHeight="1" x14ac:dyDescent="0.2">
      <c r="A43" s="101">
        <v>18300</v>
      </c>
      <c r="B43" s="12" t="s">
        <v>168</v>
      </c>
      <c r="C43" s="97"/>
      <c r="D43" s="395"/>
      <c r="E43" s="97"/>
      <c r="F43" s="97"/>
      <c r="G43" s="98">
        <f t="shared" si="31"/>
        <v>0</v>
      </c>
      <c r="H43" s="23" t="str">
        <f t="shared" si="21"/>
        <v>-</v>
      </c>
      <c r="I43" s="102"/>
      <c r="J43" s="395"/>
      <c r="K43" s="287"/>
      <c r="L43" s="98">
        <f t="shared" si="25"/>
        <v>0</v>
      </c>
      <c r="M43" s="23" t="str">
        <f t="shared" si="3"/>
        <v>-</v>
      </c>
      <c r="N43" s="102"/>
      <c r="O43" s="395"/>
      <c r="P43" s="97">
        <v>343060</v>
      </c>
      <c r="Q43" s="98">
        <f t="shared" si="27"/>
        <v>343060</v>
      </c>
      <c r="R43" s="23" t="str">
        <f t="shared" si="5"/>
        <v>-</v>
      </c>
      <c r="S43" s="410" t="s">
        <v>413</v>
      </c>
      <c r="T43" s="97"/>
      <c r="U43" s="97"/>
      <c r="V43" s="98">
        <f t="shared" si="29"/>
        <v>0</v>
      </c>
      <c r="W43" s="23" t="str">
        <f t="shared" si="7"/>
        <v>-</v>
      </c>
      <c r="X43" s="102"/>
    </row>
    <row r="44" spans="1:24" ht="30.6" customHeight="1" x14ac:dyDescent="0.2">
      <c r="A44" s="111">
        <v>19000</v>
      </c>
      <c r="B44" s="133" t="s">
        <v>196</v>
      </c>
      <c r="C44" s="113">
        <f>C36-C40</f>
        <v>2145</v>
      </c>
      <c r="D44" s="384">
        <f>D36-D40</f>
        <v>700</v>
      </c>
      <c r="E44" s="113">
        <f>E36-E40</f>
        <v>0</v>
      </c>
      <c r="F44" s="113">
        <f>F36-F40</f>
        <v>130</v>
      </c>
      <c r="G44" s="116">
        <f t="shared" si="31"/>
        <v>130</v>
      </c>
      <c r="H44" s="117" t="str">
        <f t="shared" si="21"/>
        <v>-</v>
      </c>
      <c r="I44" s="242"/>
      <c r="J44" s="384">
        <f>J36-J40</f>
        <v>200</v>
      </c>
      <c r="K44" s="286">
        <f>K36-K40</f>
        <v>130</v>
      </c>
      <c r="L44" s="116">
        <f t="shared" si="25"/>
        <v>-70</v>
      </c>
      <c r="M44" s="117">
        <f t="shared" si="3"/>
        <v>-0.35</v>
      </c>
      <c r="N44" s="242"/>
      <c r="O44" s="384">
        <f>O36-O40</f>
        <v>500</v>
      </c>
      <c r="P44" s="113">
        <f>P36-P40</f>
        <v>-332930</v>
      </c>
      <c r="Q44" s="116">
        <f t="shared" si="27"/>
        <v>-333430</v>
      </c>
      <c r="R44" s="117">
        <f t="shared" si="5"/>
        <v>-666.86</v>
      </c>
      <c r="S44" s="242"/>
      <c r="T44" s="113">
        <f>T36-T40</f>
        <v>700</v>
      </c>
      <c r="U44" s="113">
        <f>U36-U40</f>
        <v>0</v>
      </c>
      <c r="V44" s="116">
        <f t="shared" si="29"/>
        <v>-700</v>
      </c>
      <c r="W44" s="117">
        <f t="shared" si="7"/>
        <v>-1</v>
      </c>
      <c r="X44" s="242"/>
    </row>
    <row r="45" spans="1:24" ht="15.6" customHeight="1" x14ac:dyDescent="0.2">
      <c r="A45" s="103">
        <v>20100</v>
      </c>
      <c r="B45" s="104" t="s">
        <v>169</v>
      </c>
      <c r="C45" s="105"/>
      <c r="D45" s="396"/>
      <c r="E45" s="105"/>
      <c r="F45" s="105"/>
      <c r="G45" s="106">
        <f t="shared" si="31"/>
        <v>0</v>
      </c>
      <c r="H45" s="107" t="str">
        <f t="shared" si="21"/>
        <v>-</v>
      </c>
      <c r="I45" s="99"/>
      <c r="J45" s="400"/>
      <c r="K45" s="287"/>
      <c r="L45" s="106">
        <f t="shared" si="25"/>
        <v>0</v>
      </c>
      <c r="M45" s="107" t="str">
        <f t="shared" si="3"/>
        <v>-</v>
      </c>
      <c r="N45" s="99"/>
      <c r="O45" s="400"/>
      <c r="P45" s="105"/>
      <c r="Q45" s="106">
        <f t="shared" si="27"/>
        <v>0</v>
      </c>
      <c r="R45" s="107" t="str">
        <f t="shared" si="5"/>
        <v>-</v>
      </c>
      <c r="S45" s="99"/>
      <c r="T45" s="105"/>
      <c r="U45" s="105"/>
      <c r="V45" s="106">
        <f t="shared" si="29"/>
        <v>0</v>
      </c>
      <c r="W45" s="107" t="str">
        <f t="shared" si="7"/>
        <v>-</v>
      </c>
      <c r="X45" s="99"/>
    </row>
    <row r="46" spans="1:24" ht="31.5" customHeight="1" x14ac:dyDescent="0.2">
      <c r="A46" s="103">
        <v>20200</v>
      </c>
      <c r="B46" s="104" t="s">
        <v>170</v>
      </c>
      <c r="C46" s="105">
        <v>-66673</v>
      </c>
      <c r="D46" s="396">
        <v>-50500</v>
      </c>
      <c r="E46" s="105">
        <v>-9000</v>
      </c>
      <c r="F46" s="105">
        <v>-24316</v>
      </c>
      <c r="G46" s="106">
        <f t="shared" si="31"/>
        <v>-15316</v>
      </c>
      <c r="H46" s="107">
        <f t="shared" si="21"/>
        <v>-1.7017777777777778</v>
      </c>
      <c r="I46" s="289" t="s">
        <v>385</v>
      </c>
      <c r="J46" s="400">
        <v>-35000</v>
      </c>
      <c r="K46" s="287">
        <v>-41445</v>
      </c>
      <c r="L46" s="106">
        <f t="shared" si="25"/>
        <v>-6445</v>
      </c>
      <c r="M46" s="107">
        <f t="shared" si="3"/>
        <v>-0.18414285714285714</v>
      </c>
      <c r="N46" s="99"/>
      <c r="O46" s="400">
        <v>-42000</v>
      </c>
      <c r="P46" s="105">
        <v>-50724</v>
      </c>
      <c r="Q46" s="106">
        <f t="shared" si="27"/>
        <v>-8724</v>
      </c>
      <c r="R46" s="107">
        <f t="shared" si="5"/>
        <v>-0.20771428571428571</v>
      </c>
      <c r="S46" s="99"/>
      <c r="T46" s="105">
        <f>D46</f>
        <v>-50500</v>
      </c>
      <c r="U46" s="105"/>
      <c r="V46" s="106">
        <f t="shared" si="29"/>
        <v>50500</v>
      </c>
      <c r="W46" s="107">
        <f t="shared" si="7"/>
        <v>1</v>
      </c>
      <c r="X46" s="99"/>
    </row>
    <row r="47" spans="1:24" ht="15.6" customHeight="1" x14ac:dyDescent="0.2">
      <c r="A47" s="111">
        <v>21000</v>
      </c>
      <c r="B47" s="118" t="s">
        <v>171</v>
      </c>
      <c r="C47" s="114">
        <f>C3+C19+C34+C44+C45+C46</f>
        <v>2308208</v>
      </c>
      <c r="D47" s="388" t="e">
        <f>D3+D19+D34+D44+D45+D46</f>
        <v>#REF!</v>
      </c>
      <c r="E47" s="114">
        <f>E3+E19+E34+E44+E45+E46</f>
        <v>1917192</v>
      </c>
      <c r="F47" s="114">
        <f>F3+F19+F34+F44+F45+F46</f>
        <v>1821615</v>
      </c>
      <c r="G47" s="115">
        <f t="shared" si="31"/>
        <v>-95577</v>
      </c>
      <c r="H47" s="29">
        <f t="shared" ref="H47:H54" si="35">IFERROR(G47/ABS(E47), "-")</f>
        <v>-4.9852596922999884E-2</v>
      </c>
      <c r="I47" s="465"/>
      <c r="J47" s="388" t="e">
        <f>J3+J19+J34+J44+J45+J46</f>
        <v>#REF!</v>
      </c>
      <c r="K47" s="313">
        <f>K3+K19+K34+K44+K45+K46</f>
        <v>1707565</v>
      </c>
      <c r="L47" s="115" t="e">
        <f t="shared" si="25"/>
        <v>#REF!</v>
      </c>
      <c r="M47" s="29" t="str">
        <f t="shared" si="3"/>
        <v>-</v>
      </c>
      <c r="N47" s="465"/>
      <c r="O47" s="388" t="e">
        <f>O3+O19+O34+O44+O45+O46</f>
        <v>#REF!</v>
      </c>
      <c r="P47" s="114">
        <f>P3+P19+P34+P44+P45+P46</f>
        <v>1384666</v>
      </c>
      <c r="Q47" s="115" t="e">
        <f t="shared" si="27"/>
        <v>#REF!</v>
      </c>
      <c r="R47" s="29" t="str">
        <f t="shared" si="5"/>
        <v>-</v>
      </c>
      <c r="S47" s="462" t="s">
        <v>414</v>
      </c>
      <c r="T47" s="114" t="e">
        <f>T3+T19+T34+T44+T45+T46</f>
        <v>#REF!</v>
      </c>
      <c r="U47" s="114" t="e">
        <f>U3+U19+U34+U44+U45+U46</f>
        <v>#VALUE!</v>
      </c>
      <c r="V47" s="115" t="e">
        <f t="shared" si="29"/>
        <v>#VALUE!</v>
      </c>
      <c r="W47" s="29" t="str">
        <f t="shared" si="7"/>
        <v>-</v>
      </c>
      <c r="X47" s="465"/>
    </row>
    <row r="48" spans="1:24" ht="15.6" customHeight="1" x14ac:dyDescent="0.2">
      <c r="A48" s="108">
        <v>21100</v>
      </c>
      <c r="B48" s="109" t="s">
        <v>172</v>
      </c>
      <c r="C48" s="105"/>
      <c r="D48" s="396"/>
      <c r="E48" s="105"/>
      <c r="F48" s="105"/>
      <c r="G48" s="106">
        <f t="shared" si="31"/>
        <v>0</v>
      </c>
      <c r="H48" s="107" t="str">
        <f t="shared" si="35"/>
        <v>-</v>
      </c>
      <c r="I48" s="466"/>
      <c r="J48" s="400"/>
      <c r="K48" s="287"/>
      <c r="L48" s="106">
        <f t="shared" si="25"/>
        <v>0</v>
      </c>
      <c r="M48" s="107" t="str">
        <f t="shared" si="3"/>
        <v>-</v>
      </c>
      <c r="N48" s="466"/>
      <c r="O48" s="400"/>
      <c r="P48" s="105"/>
      <c r="Q48" s="106">
        <f t="shared" si="27"/>
        <v>0</v>
      </c>
      <c r="R48" s="107" t="str">
        <f t="shared" si="5"/>
        <v>-</v>
      </c>
      <c r="S48" s="463"/>
      <c r="T48" s="105"/>
      <c r="U48" s="105"/>
      <c r="V48" s="106">
        <f t="shared" si="29"/>
        <v>0</v>
      </c>
      <c r="W48" s="107" t="str">
        <f t="shared" si="7"/>
        <v>-</v>
      </c>
      <c r="X48" s="466"/>
    </row>
    <row r="49" spans="1:24" ht="15.6" customHeight="1" x14ac:dyDescent="0.2">
      <c r="A49" s="108">
        <v>21200</v>
      </c>
      <c r="B49" s="109" t="s">
        <v>173</v>
      </c>
      <c r="C49" s="105"/>
      <c r="D49" s="396"/>
      <c r="E49" s="105"/>
      <c r="F49" s="105"/>
      <c r="G49" s="106">
        <f t="shared" si="31"/>
        <v>0</v>
      </c>
      <c r="H49" s="107" t="str">
        <f t="shared" si="35"/>
        <v>-</v>
      </c>
      <c r="I49" s="466"/>
      <c r="J49" s="400"/>
      <c r="K49" s="287"/>
      <c r="L49" s="106">
        <f t="shared" si="25"/>
        <v>0</v>
      </c>
      <c r="M49" s="107" t="str">
        <f t="shared" si="3"/>
        <v>-</v>
      </c>
      <c r="N49" s="466"/>
      <c r="O49" s="400"/>
      <c r="P49" s="105"/>
      <c r="Q49" s="106">
        <f t="shared" si="27"/>
        <v>0</v>
      </c>
      <c r="R49" s="107" t="str">
        <f t="shared" si="5"/>
        <v>-</v>
      </c>
      <c r="S49" s="463"/>
      <c r="T49" s="105"/>
      <c r="U49" s="105"/>
      <c r="V49" s="106">
        <f t="shared" si="29"/>
        <v>0</v>
      </c>
      <c r="W49" s="107" t="str">
        <f t="shared" si="7"/>
        <v>-</v>
      </c>
      <c r="X49" s="466"/>
    </row>
    <row r="50" spans="1:24" ht="15.6" customHeight="1" x14ac:dyDescent="0.2">
      <c r="A50" s="108">
        <v>21300</v>
      </c>
      <c r="B50" s="109" t="s">
        <v>174</v>
      </c>
      <c r="C50" s="105"/>
      <c r="D50" s="396"/>
      <c r="E50" s="105"/>
      <c r="F50" s="105"/>
      <c r="G50" s="106">
        <f t="shared" si="31"/>
        <v>0</v>
      </c>
      <c r="H50" s="107" t="str">
        <f t="shared" si="35"/>
        <v>-</v>
      </c>
      <c r="I50" s="466"/>
      <c r="J50" s="400"/>
      <c r="K50" s="287"/>
      <c r="L50" s="106">
        <f t="shared" si="25"/>
        <v>0</v>
      </c>
      <c r="M50" s="107" t="str">
        <f t="shared" si="3"/>
        <v>-</v>
      </c>
      <c r="N50" s="466"/>
      <c r="O50" s="400"/>
      <c r="P50" s="105"/>
      <c r="Q50" s="106">
        <f t="shared" si="27"/>
        <v>0</v>
      </c>
      <c r="R50" s="107" t="str">
        <f t="shared" si="5"/>
        <v>-</v>
      </c>
      <c r="S50" s="463"/>
      <c r="T50" s="105"/>
      <c r="U50" s="105"/>
      <c r="V50" s="106">
        <f t="shared" si="29"/>
        <v>0</v>
      </c>
      <c r="W50" s="107" t="str">
        <f t="shared" si="7"/>
        <v>-</v>
      </c>
      <c r="X50" s="466"/>
    </row>
    <row r="51" spans="1:24" ht="15.6" customHeight="1" x14ac:dyDescent="0.2">
      <c r="A51" s="108">
        <v>21400</v>
      </c>
      <c r="B51" s="109" t="s">
        <v>175</v>
      </c>
      <c r="C51" s="105">
        <v>2201036</v>
      </c>
      <c r="D51" s="396" t="e">
        <f>D47-D53</f>
        <v>#REF!</v>
      </c>
      <c r="E51" s="110">
        <f>E47-E53</f>
        <v>1819192</v>
      </c>
      <c r="F51" s="105">
        <f>F47-F53</f>
        <v>1725051</v>
      </c>
      <c r="G51" s="106">
        <f t="shared" si="31"/>
        <v>-94141</v>
      </c>
      <c r="H51" s="107">
        <f t="shared" si="35"/>
        <v>-5.1748798367626948E-2</v>
      </c>
      <c r="I51" s="466"/>
      <c r="J51" s="396" t="e">
        <f>J47-J53</f>
        <v>#REF!</v>
      </c>
      <c r="K51" s="287">
        <f>K47-K53</f>
        <v>1614141</v>
      </c>
      <c r="L51" s="106" t="e">
        <f t="shared" si="25"/>
        <v>#REF!</v>
      </c>
      <c r="M51" s="107" t="str">
        <f t="shared" si="3"/>
        <v>-</v>
      </c>
      <c r="N51" s="466"/>
      <c r="O51" s="396" t="e">
        <f>O47-O53</f>
        <v>#REF!</v>
      </c>
      <c r="P51" s="105">
        <f>P47-P53</f>
        <v>1291313</v>
      </c>
      <c r="Q51" s="106" t="e">
        <f t="shared" si="27"/>
        <v>#REF!</v>
      </c>
      <c r="R51" s="107" t="str">
        <f t="shared" si="5"/>
        <v>-</v>
      </c>
      <c r="S51" s="463"/>
      <c r="T51" s="110" t="e">
        <f>T47-T53</f>
        <v>#REF!</v>
      </c>
      <c r="U51" s="105"/>
      <c r="V51" s="106" t="e">
        <f t="shared" si="29"/>
        <v>#REF!</v>
      </c>
      <c r="W51" s="107" t="str">
        <f t="shared" si="7"/>
        <v>-</v>
      </c>
      <c r="X51" s="466"/>
    </row>
    <row r="52" spans="1:24" ht="15.6" customHeight="1" x14ac:dyDescent="0.2">
      <c r="A52" s="108">
        <v>21500</v>
      </c>
      <c r="B52" s="109" t="s">
        <v>176</v>
      </c>
      <c r="C52" s="105"/>
      <c r="D52" s="396"/>
      <c r="E52" s="105"/>
      <c r="F52" s="105"/>
      <c r="G52" s="106">
        <f t="shared" si="31"/>
        <v>0</v>
      </c>
      <c r="H52" s="107" t="str">
        <f t="shared" si="35"/>
        <v>-</v>
      </c>
      <c r="I52" s="466"/>
      <c r="J52" s="400"/>
      <c r="K52" s="287"/>
      <c r="L52" s="106">
        <f t="shared" si="25"/>
        <v>0</v>
      </c>
      <c r="M52" s="107" t="str">
        <f t="shared" si="3"/>
        <v>-</v>
      </c>
      <c r="N52" s="466"/>
      <c r="O52" s="400"/>
      <c r="P52" s="105"/>
      <c r="Q52" s="106">
        <f t="shared" si="27"/>
        <v>0</v>
      </c>
      <c r="R52" s="107" t="str">
        <f t="shared" si="5"/>
        <v>-</v>
      </c>
      <c r="S52" s="463"/>
      <c r="T52" s="105"/>
      <c r="U52" s="105"/>
      <c r="V52" s="106">
        <f t="shared" si="29"/>
        <v>0</v>
      </c>
      <c r="W52" s="107" t="str">
        <f t="shared" si="7"/>
        <v>-</v>
      </c>
      <c r="X52" s="466"/>
    </row>
    <row r="53" spans="1:24" ht="15.6" customHeight="1" x14ac:dyDescent="0.2">
      <c r="A53" s="108">
        <v>21600</v>
      </c>
      <c r="B53" s="109" t="s">
        <v>177</v>
      </c>
      <c r="C53" s="105">
        <v>107172</v>
      </c>
      <c r="D53" s="396">
        <v>98000</v>
      </c>
      <c r="E53" s="110">
        <v>98000</v>
      </c>
      <c r="F53" s="105">
        <v>96564</v>
      </c>
      <c r="G53" s="106">
        <f t="shared" si="31"/>
        <v>-1436</v>
      </c>
      <c r="H53" s="107">
        <f t="shared" si="35"/>
        <v>-1.4653061224489797E-2</v>
      </c>
      <c r="I53" s="466"/>
      <c r="J53" s="396">
        <v>98000</v>
      </c>
      <c r="K53" s="287">
        <v>93424</v>
      </c>
      <c r="L53" s="106">
        <f t="shared" si="25"/>
        <v>-4576</v>
      </c>
      <c r="M53" s="107">
        <f t="shared" si="3"/>
        <v>-4.6693877551020412E-2</v>
      </c>
      <c r="N53" s="466"/>
      <c r="O53" s="396">
        <v>98000</v>
      </c>
      <c r="P53" s="105">
        <v>93353</v>
      </c>
      <c r="Q53" s="106">
        <f t="shared" si="27"/>
        <v>-4647</v>
      </c>
      <c r="R53" s="107">
        <f t="shared" si="5"/>
        <v>-4.7418367346938772E-2</v>
      </c>
      <c r="S53" s="463"/>
      <c r="T53" s="110">
        <v>98000</v>
      </c>
      <c r="U53" s="105"/>
      <c r="V53" s="106">
        <f t="shared" si="29"/>
        <v>-98000</v>
      </c>
      <c r="W53" s="107">
        <f t="shared" si="7"/>
        <v>-1</v>
      </c>
      <c r="X53" s="466"/>
    </row>
    <row r="54" spans="1:24" ht="15.6" customHeight="1" x14ac:dyDescent="0.2">
      <c r="A54" s="108">
        <v>21700</v>
      </c>
      <c r="B54" s="109" t="s">
        <v>178</v>
      </c>
      <c r="C54" s="105"/>
      <c r="D54" s="396"/>
      <c r="E54" s="105"/>
      <c r="F54" s="105"/>
      <c r="G54" s="106">
        <f t="shared" si="31"/>
        <v>0</v>
      </c>
      <c r="H54" s="107" t="str">
        <f t="shared" si="35"/>
        <v>-</v>
      </c>
      <c r="I54" s="467"/>
      <c r="J54" s="400"/>
      <c r="K54" s="287"/>
      <c r="L54" s="106">
        <f t="shared" si="25"/>
        <v>0</v>
      </c>
      <c r="M54" s="107" t="str">
        <f t="shared" si="3"/>
        <v>-</v>
      </c>
      <c r="N54" s="467"/>
      <c r="O54" s="400"/>
      <c r="P54" s="105"/>
      <c r="Q54" s="106">
        <f t="shared" si="27"/>
        <v>0</v>
      </c>
      <c r="R54" s="107" t="str">
        <f t="shared" si="5"/>
        <v>-</v>
      </c>
      <c r="S54" s="464"/>
      <c r="T54" s="105"/>
      <c r="U54" s="105"/>
      <c r="V54" s="106">
        <f t="shared" si="29"/>
        <v>0</v>
      </c>
      <c r="W54" s="107" t="str">
        <f t="shared" si="7"/>
        <v>-</v>
      </c>
      <c r="X54" s="467"/>
    </row>
    <row r="55" spans="1:24" x14ac:dyDescent="0.2">
      <c r="A55" s="194"/>
      <c r="B55" s="195"/>
      <c r="C55" s="196"/>
      <c r="D55" s="397"/>
      <c r="E55" s="196"/>
      <c r="F55" s="196"/>
      <c r="G55" s="197"/>
      <c r="H55" s="198"/>
      <c r="I55" s="199"/>
      <c r="J55" s="401"/>
      <c r="K55" s="318"/>
      <c r="L55" s="197"/>
      <c r="M55" s="198"/>
      <c r="N55" s="199"/>
      <c r="O55" s="401"/>
      <c r="P55" s="196"/>
      <c r="Q55" s="197"/>
      <c r="R55" s="198"/>
      <c r="S55" s="199"/>
      <c r="T55" s="196"/>
      <c r="U55" s="196"/>
      <c r="V55" s="197"/>
      <c r="W55" s="198"/>
      <c r="X55" s="199"/>
    </row>
    <row r="56" spans="1:24" x14ac:dyDescent="0.2">
      <c r="A56" s="32" t="s">
        <v>297</v>
      </c>
      <c r="B56" s="43"/>
      <c r="C56" s="43"/>
      <c r="D56" s="379"/>
      <c r="E56" s="43"/>
      <c r="F56" s="43"/>
      <c r="G56" s="49"/>
      <c r="H56" s="49"/>
      <c r="I56" s="43"/>
      <c r="J56" s="379"/>
      <c r="K56" s="320"/>
      <c r="L56" s="49"/>
      <c r="M56" s="49"/>
      <c r="N56" s="43"/>
      <c r="O56" s="379"/>
      <c r="P56" s="196"/>
      <c r="Q56" s="197"/>
      <c r="R56" s="198"/>
      <c r="S56" s="199"/>
      <c r="T56" s="196"/>
      <c r="U56" s="196"/>
      <c r="V56" s="197"/>
      <c r="W56" s="198"/>
      <c r="X56" s="199"/>
    </row>
    <row r="57" spans="1:24" ht="36.6" customHeight="1" x14ac:dyDescent="0.2">
      <c r="A57" s="447" t="s">
        <v>327</v>
      </c>
      <c r="B57" s="447"/>
      <c r="C57" s="447"/>
      <c r="D57" s="447"/>
      <c r="E57" s="447"/>
      <c r="F57" s="447"/>
      <c r="G57" s="447"/>
      <c r="H57" s="59"/>
      <c r="I57" s="59"/>
      <c r="J57" s="383"/>
      <c r="K57" s="319"/>
      <c r="L57" s="59"/>
      <c r="M57" s="59"/>
      <c r="N57" s="59"/>
      <c r="O57" s="383"/>
    </row>
  </sheetData>
  <sheetProtection formatColumns="0" formatRows="0" insertRows="0" deleteRows="0"/>
  <mergeCells count="8">
    <mergeCell ref="A57:G57"/>
    <mergeCell ref="S47:S54"/>
    <mergeCell ref="X47:X54"/>
    <mergeCell ref="B4:G4"/>
    <mergeCell ref="B20:G20"/>
    <mergeCell ref="B35:G35"/>
    <mergeCell ref="I47:I54"/>
    <mergeCell ref="N47:N54"/>
  </mergeCells>
  <pageMargins left="0.23622047244094491" right="0.23622047244094491" top="0.74803149606299213" bottom="0.74803149606299213" header="0.31496062992125984" footer="0.31496062992125984"/>
  <pageSetup paperSize="9" fitToHeight="0" orientation="landscape" horizontalDpi="300" verticalDpi="300" r:id="rId1"/>
  <headerFooter>
    <oddHeader>&amp;C&amp;"Times New Roman,Bold"&amp;14Naudas plūsmas pārskats&amp;R&amp;"Times New Roman,Regular"&amp;14 4.pielikums</oddHeader>
    <oddFooter>&amp;C&amp;"Times New Roman,Regular"&amp;12&amp;F&amp;R&amp;"Times New Roman,Regular"&amp;12&amp;P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6</vt:i4>
      </vt:variant>
    </vt:vector>
  </HeadingPairs>
  <TitlesOfParts>
    <vt:vector size="10" baseType="lpstr">
      <vt:lpstr>Budžeta tāme</vt:lpstr>
      <vt:lpstr>PZ Aprēķins</vt:lpstr>
      <vt:lpstr>Bilance</vt:lpstr>
      <vt:lpstr>Naudas plūsma</vt:lpstr>
      <vt:lpstr>'Budžeta tāme'!Drukas_apgabals</vt:lpstr>
      <vt:lpstr>'Naudas plūsma'!Drukas_apgabals</vt:lpstr>
      <vt:lpstr>Bilance!Drukāt_virsrakstus</vt:lpstr>
      <vt:lpstr>'Budžeta tāme'!Drukāt_virsrakstus</vt:lpstr>
      <vt:lpstr>'Naudas plūsma'!Drukāt_virsrakstus</vt:lpstr>
      <vt:lpstr>'PZ Aprēķins'!Drukāt_virsrakstus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Karīna Šoka</dc:creator>
  <cp:lastModifiedBy>Modris Putns</cp:lastModifiedBy>
  <cp:lastPrinted>2023-11-29T08:44:42Z</cp:lastPrinted>
  <dcterms:created xsi:type="dcterms:W3CDTF">2015-06-08T06:33:04Z</dcterms:created>
  <dcterms:modified xsi:type="dcterms:W3CDTF">2023-11-29T08:44:43Z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5a320f60-c6ab-4277-be08-d6d35fa3b0e4</vt:lpwstr>
  </property>
  <property fmtid="{D5CDD505-2E9C-101B-9397-08002B2CF9AE}" pid="3" name="Workbook type">
    <vt:lpwstr>Custom</vt:lpwstr>
  </property>
  <property fmtid="{D5CDD505-2E9C-101B-9397-08002B2CF9AE}" pid="4" name="Workbook version">
    <vt:lpwstr>Custom</vt:lpwstr>
  </property>
</Properties>
</file>